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5460" yWindow="240" windowWidth="20700" windowHeight="14355" tabRatio="913"/>
  </bookViews>
  <sheets>
    <sheet name="Prices Full" sheetId="70" r:id="rId1"/>
    <sheet name="Correlation" sheetId="15" r:id="rId2"/>
    <sheet name="Historical_Prices" sheetId="14" r:id="rId3"/>
    <sheet name="Econometric" sheetId="16" r:id="rId4"/>
  </sheets>
  <externalReferences>
    <externalReference r:id="rId5"/>
    <externalReference r:id="rId6"/>
    <externalReference r:id="rId7"/>
    <externalReference r:id="rId8"/>
    <externalReference r:id="rId9"/>
    <externalReference r:id="rId10"/>
    <externalReference r:id="rId11"/>
  </externalReferences>
  <definedNames>
    <definedName name="_AtRisk_FitDataRange_FIT_739B2_21245" hidden="1">[1]Historical_Prices!#REF!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Cor_EtOH_DDGSWet_2010">[2]Prices!#REF!</definedName>
    <definedName name="Cor_EtOH_DDGSWet_2010_v2">[2]Prices!#REF!</definedName>
    <definedName name="CorEtOHDDGSWet2010">[2]Prices!#REF!</definedName>
    <definedName name="CorEtOHDDGSWet2010_v2">[2]Prices!#REF!</definedName>
    <definedName name="CorrelationEtOHtoDDGSWet2010">[2]Prices!#REF!</definedName>
    <definedName name="CorrelationEtOHtoDDGSWet2010_v2">[2]Prices!#REF!</definedName>
    <definedName name="CorrelationEtOHtoDDGSWet2011">[2]Prices!#REF!</definedName>
    <definedName name="CorrelationEtOHtoDDGSWet2012">[2]Prices!#REF!</definedName>
    <definedName name="CorrelationEtOHtoDDGSWet2013">[2]Prices!#REF!</definedName>
    <definedName name="CorrelationEtOHtoDDGSWet2014">[2]Prices!#REF!</definedName>
    <definedName name="CorrelationEtOHtoDDGSWet2015">[2]Prices!#REF!</definedName>
    <definedName name="CorrelationEtOHtoDDGSWet2016">[2]Prices!#REF!</definedName>
    <definedName name="CorrelationEtOHtoDDGSWet2017">[2]Prices!#REF!</definedName>
    <definedName name="CorrelationEtOHtoDDGSWet2018">[2]Prices!#REF!</definedName>
    <definedName name="CorrelationEtOHtoDDGSWet2019">[2]Prices!#REF!</definedName>
    <definedName name="CorrelationEtOHtoDDGSWet2020">[2]Prices!#REF!</definedName>
    <definedName name="CorrelationEtOHtoDDGSWet2021">[2]Prices!#REF!</definedName>
    <definedName name="CorrelationEtOHtoDDGSWet2021b">[2]Prices!#REF!</definedName>
    <definedName name="CorrMatrix2010" localSheetId="0">[1]Correlation!$I$35:$M$39</definedName>
    <definedName name="CorrMatrix2010">[3]Correlation!$I$35:$M$39</definedName>
    <definedName name="DDGSWettoDry2010">[2]Prices!#REF!</definedName>
    <definedName name="DDGSWettoDry2011">[2]Prices!#REF!</definedName>
    <definedName name="DDGSWettoDry2012">[2]Prices!#REF!</definedName>
    <definedName name="DDGSWettoDry2013">[2]Prices!#REF!</definedName>
    <definedName name="DDGSWettoDry2014">[2]Prices!#REF!</definedName>
    <definedName name="DDGSWettoDry2015">[2]Prices!#REF!</definedName>
    <definedName name="DDGSWettoDry2016">[2]Prices!#REF!</definedName>
    <definedName name="DDGSWettoDry2017">[2]Prices!#REF!</definedName>
    <definedName name="DDGSWettoDry2018">[2]Prices!#REF!</definedName>
    <definedName name="DDGSWettoDry2019">[2]Prices!#REF!</definedName>
    <definedName name="DDGSWettoDry2020">[2]Prices!#REF!</definedName>
    <definedName name="DDGSWettoDry2021">[2]Prices!#REF!</definedName>
    <definedName name="Denatured">#REF!</definedName>
    <definedName name="Ethanol_Scenario">#REF!</definedName>
    <definedName name="EthanolPriceBasis">[2]Conversion!$A$82:$A$86</definedName>
    <definedName name="EUR_USD">'[4]Assump Conv Techn OSM&amp;Lic'!$B$3</definedName>
    <definedName name="FinPer">[2]Conversion!$E$76:$E$85</definedName>
    <definedName name="GasPrices" localSheetId="0">'Prices Full'!$B$15:$M$20</definedName>
    <definedName name="GasPrices">#REF!</definedName>
    <definedName name="GasPrices2">#REF!</definedName>
    <definedName name="Hist_EtOH_Real" localSheetId="0">[1]Historical_Prices!$C$8:$C$217</definedName>
    <definedName name="Hist_EtOH_Real">Historical_Prices!$C$8:$C$217</definedName>
    <definedName name="Initial_Plant_Scale">#REF!</definedName>
    <definedName name="LTIR">[2]Conversion!$F$76:$F$98</definedName>
    <definedName name="Matrix_Prices_2011" localSheetId="0">[5]Prices!$O$46:$S$50</definedName>
    <definedName name="Matrix_Prices_2011">[2]Prices!$O$46:$S$50</definedName>
    <definedName name="Matrix_Prices_2012" localSheetId="0">[5]Prices!$O$53:$S$57</definedName>
    <definedName name="Matrix_Prices_2012">[2]Prices!$O$53:$S$57</definedName>
    <definedName name="Matrix_Prices_2013" localSheetId="0">[5]Prices!$O$60:$S$64</definedName>
    <definedName name="Matrix_Prices_2013">[2]Prices!$O$60:$S$64</definedName>
    <definedName name="Matrix_Prices_2014" localSheetId="0">[5]Prices!$O$67:$S$71</definedName>
    <definedName name="Matrix_Prices_2014">[2]Prices!$O$67:$S$71</definedName>
    <definedName name="Matrix_Prices_2015" localSheetId="0">[5]Prices!$O$74:$S$78</definedName>
    <definedName name="Matrix_Prices_2015">[2]Prices!$O$74:$S$78</definedName>
    <definedName name="Matrix_Prices_2016" localSheetId="0">[5]Prices!$O$81:$S$85</definedName>
    <definedName name="Matrix_Prices_2016">[2]Prices!$O$81:$S$85</definedName>
    <definedName name="Matrix_Prices_2017" localSheetId="0">[5]Prices!$O$88:$S$92</definedName>
    <definedName name="Matrix_Prices_2017">[2]Prices!$O$88:$S$92</definedName>
    <definedName name="Matrix_Prices_2018" localSheetId="0">[5]Prices!$O$95:$S$99</definedName>
    <definedName name="Matrix_Prices_2018">[2]Prices!$O$95:$S$99</definedName>
    <definedName name="Matrix_Prices_2019" localSheetId="0">[5]Prices!$O$102:$S$106</definedName>
    <definedName name="Matrix_Prices_2019">[2]Prices!$O$102:$S$106</definedName>
    <definedName name="Matrix_Prices_2020" localSheetId="0">[5]Prices!$O$109:$S$113</definedName>
    <definedName name="Matrix_Prices_2020">[2]Prices!$O$109:$S$113</definedName>
    <definedName name="Matrix_Prices_2021" localSheetId="0">[5]Prices!$O$116:$S$120</definedName>
    <definedName name="Matrix_Prices_2021">[2]Prices!$O$116:$S$120</definedName>
    <definedName name="NewMatrix1">[2]Prices!#REF!</definedName>
    <definedName name="NewMatrix2">0</definedName>
    <definedName name="NewMatrix3">[2]Prices!#REF!</definedName>
    <definedName name="Pal_Workbook_GUID" localSheetId="0" hidden="1">"WLLYXCITN319ILC9AQEMA6TQ"</definedName>
    <definedName name="Pal_Workbook_GUID" hidden="1">"LNCJYW49RTXBRJSRS9AQUCXZ"</definedName>
    <definedName name="PlantBasis">[2]Conversion!$A$76:$A$77</definedName>
    <definedName name="PlantScale" localSheetId="0">[5]Scale!$B$16:$B$54</definedName>
    <definedName name="PlantScale">#REF!</definedName>
    <definedName name="Price_Cor_Matrix_2010" localSheetId="0">[5]Prices!$O$39:$S$43</definedName>
    <definedName name="Price_Cor_Matrix_2010">[2]Prices!$O$39:$S$43</definedName>
    <definedName name="Prices_EtOH">#REF!</definedName>
    <definedName name="PricesCEtOH">'Prices Full'!$B$26:$M$28</definedName>
    <definedName name="PricesCorn">'Prices Full'!$B$43:$M$50</definedName>
    <definedName name="PricesDDG">'Prices Full'!$B$32:$M$39</definedName>
    <definedName name="PricesEtOH">'Prices Full'!$B$6:$M$11</definedName>
    <definedName name="PricesGas">'Prices Full'!$B$15:$M$20</definedName>
    <definedName name="ProdPricing">[2]Conversion!$A$101:$A$103</definedName>
    <definedName name="PTree_PolicySuggestion_IncludeDecisionTable" hidden="1">TRUE</definedName>
    <definedName name="PTree_PolicySuggestion_IncludeOptimalDecisionTree" hidden="1">TRUE</definedName>
    <definedName name="PTree_PolicySuggestion_Model" hidden="1">PTreeObjectReference(PTDecisionTree_2,[1]treeCalc_2!$A$1)</definedName>
    <definedName name="PTree_PolicySuggestion_StartingNode" hidden="1">PTreeObjectReference(NULL,NULL)</definedName>
    <definedName name="RiskAfterRecalcMacro" hidden="1">""</definedName>
    <definedName name="RiskAfterSimMacro" hidden="1">""</definedName>
    <definedName name="riskATSTbaselineRequested" hidden="1">TRUE</definedName>
    <definedName name="riskATSTboxGraph" hidden="1">TRUE</definedName>
    <definedName name="riskATSTcomparisonGraph" hidden="1">TRUE</definedName>
    <definedName name="riskATSThistogramGraph" hidden="1">FALSE</definedName>
    <definedName name="riskATSToutputStatistic" hidden="1">4</definedName>
    <definedName name="riskATSTprintReport" hidden="1">FALSE</definedName>
    <definedName name="riskATSTreportsInActiveBook" hidden="1">FALSE</definedName>
    <definedName name="riskATSTreportsSelected" hidden="1">TRUE</definedName>
    <definedName name="riskATSTsequentialStress" hidden="1">TRUE</definedName>
    <definedName name="riskATSTsummaryReport" hidden="1">TRUE</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SwapState" hidden="1">FALSE</definedName>
    <definedName name="RiskUpdateDisplay" hidden="1">FALSE</definedName>
    <definedName name="RiskUseDifferentSeedForEachSim" hidden="1">FALSE</definedName>
    <definedName name="RiskUseFixedSeed" hidden="1">FALSE</definedName>
    <definedName name="RiskUseMultipleCPUs" hidden="1">TRUE</definedName>
    <definedName name="share_CS2E">#REF!</definedName>
    <definedName name="share_DG2E">#REF!</definedName>
    <definedName name="Start_up" localSheetId="0">'[6]Sensitivities (full case)'!$B$6</definedName>
    <definedName name="Start_up">'[7]Sensitivities (full case)'!$B$6</definedName>
    <definedName name="TaxRate">[2]Conversion!$H$76:$H$90</definedName>
    <definedName name="TaxType" localSheetId="0">'[5]KEY FIGURES'!$C$20:$C$21</definedName>
    <definedName name="TaxType">'[2]KEY FIGURES'!$C$20:$C$21</definedName>
    <definedName name="TCY">[2]Conversion!$G$76:$G$85</definedName>
    <definedName name="TopRankDefaultDistForRange" hidden="1">0</definedName>
    <definedName name="TopRankDefaultMaxChange" hidden="1">0.1</definedName>
    <definedName name="TopRankDefaultMinChange" hidden="1">-0.1</definedName>
    <definedName name="TopRankDefaultMultiGroupSize" hidden="1">2</definedName>
    <definedName name="TopRankDefaultMultiStepsPerInput" hidden="1">2</definedName>
    <definedName name="TopRankDefaultRangeType" hidden="1">0</definedName>
    <definedName name="TopRankDefaultStepsPerInput" hidden="1">5</definedName>
    <definedName name="TopRankDetailByInputReport" hidden="1">FALSE</definedName>
    <definedName name="TopRankMaxInputsPerGraph" hidden="1">10</definedName>
    <definedName name="TopRankMultiWayReport" hidden="1">FALSE</definedName>
    <definedName name="TopRankNumberOfRuns" hidden="1">1</definedName>
    <definedName name="TopRankOnlyInputsChangeThreshold">0.01</definedName>
    <definedName name="TopRankOnlyInputsOverThreshold" hidden="1">TRUE</definedName>
    <definedName name="TopRankOnlyTopRanking" hidden="1">TRUE</definedName>
    <definedName name="TopRankOutputDetailReport" hidden="1">FALSE</definedName>
    <definedName name="TopRankOutputsAsPercentChange" hidden="1">FALSE</definedName>
    <definedName name="TopRankOverwriteExisting" hidden="1">FALSE</definedName>
    <definedName name="TopRankPauseOnError" hidden="1">FALSE</definedName>
    <definedName name="TopRankPerformPrecedentScanAddOutput" hidden="1">FALSE</definedName>
    <definedName name="TopRankPerformPrecedentScanAtStart" hidden="1">TRUE</definedName>
    <definedName name="TopRankPrecedentScanType" hidden="1">1</definedName>
    <definedName name="TopRankReportAllOutputCells" hidden="1">TRUE</definedName>
    <definedName name="TopRankReportsInExistingWorkbook" hidden="1">FALSE</definedName>
    <definedName name="TopRankReportsInExistingWorkbookName" hidden="1">"Active Workbook"</definedName>
    <definedName name="TopRankReportsInNewWorkbook" hidden="1">TRUE</definedName>
    <definedName name="TopRankSensitivityGraphs" hidden="1">FALSE</definedName>
    <definedName name="TopRankSingleWorkbookAllResults" hidden="1">FALSE</definedName>
    <definedName name="TopRankSpiderGraphs" hidden="1">TRUE</definedName>
    <definedName name="TopRankTornadoGraphs" hidden="1">TRUE</definedName>
    <definedName name="TopRankUpdateDisplay" hidden="1">FALSE</definedName>
    <definedName name="treeList" hidden="1">"11000000000000000000000000000000000000000000000000000000000000000000000000000000000000000000000000000000000000000000000000000000000000000000000000000000000000000000000000000000000000000000000000000000"</definedName>
    <definedName name="Upgrade_Plant_Scale">#REF!</definedName>
    <definedName name="Var_Biomass_Price">#REF!</definedName>
    <definedName name="Var_CEtOH_Price">#REF!</definedName>
    <definedName name="Var_EY_Price">#REF!</definedName>
    <definedName name="WACC">#REF!</definedName>
    <definedName name="x">[2]Prices!#REF!</definedName>
    <definedName name="Years">#REF!</definedName>
  </definedNames>
  <calcPr calcId="145621"/>
</workbook>
</file>

<file path=xl/calcChain.xml><?xml version="1.0" encoding="utf-8"?>
<calcChain xmlns="http://schemas.openxmlformats.org/spreadsheetml/2006/main">
  <c r="C46" i="70" l="1"/>
  <c r="C44" i="70"/>
  <c r="C39" i="70"/>
  <c r="D39" i="70"/>
  <c r="E39" i="70" s="1"/>
  <c r="F39" i="70" s="1"/>
  <c r="G39" i="70" s="1"/>
  <c r="H39" i="70" s="1"/>
  <c r="I39" i="70" s="1"/>
  <c r="J39" i="70" s="1"/>
  <c r="K39" i="70" s="1"/>
  <c r="L39" i="70" s="1"/>
  <c r="M39" i="70" s="1"/>
  <c r="C34" i="70"/>
  <c r="D219" i="14"/>
  <c r="E2" i="70"/>
  <c r="E30" i="70" s="1"/>
  <c r="F219" i="14"/>
  <c r="C48" i="70"/>
  <c r="F6" i="14"/>
  <c r="F7" i="14"/>
  <c r="F8" i="14"/>
  <c r="F9" i="14"/>
  <c r="F10" i="14"/>
  <c r="F11" i="14"/>
  <c r="F12" i="14"/>
  <c r="F13" i="14"/>
  <c r="F14" i="14"/>
  <c r="F15" i="14"/>
  <c r="F16" i="14"/>
  <c r="F17" i="14"/>
  <c r="F18" i="14"/>
  <c r="F19" i="14"/>
  <c r="F20" i="14"/>
  <c r="F21" i="14"/>
  <c r="F22" i="14"/>
  <c r="F23" i="14"/>
  <c r="F24" i="14"/>
  <c r="F25" i="14"/>
  <c r="F26" i="14"/>
  <c r="F27" i="14"/>
  <c r="F28" i="14"/>
  <c r="F29" i="14"/>
  <c r="F30" i="14"/>
  <c r="F31" i="14"/>
  <c r="F32" i="14"/>
  <c r="F33" i="14"/>
  <c r="F34" i="14"/>
  <c r="F35" i="14"/>
  <c r="F36" i="14"/>
  <c r="F37" i="14"/>
  <c r="F38" i="14"/>
  <c r="F39" i="14"/>
  <c r="F40" i="14"/>
  <c r="F41" i="14"/>
  <c r="F42" i="14"/>
  <c r="F43" i="14"/>
  <c r="F44" i="14"/>
  <c r="F45" i="14"/>
  <c r="F46" i="14"/>
  <c r="F47" i="14"/>
  <c r="F48" i="14"/>
  <c r="F49" i="14"/>
  <c r="F50" i="14"/>
  <c r="F51" i="14"/>
  <c r="F52" i="14"/>
  <c r="F53" i="14"/>
  <c r="F54" i="14"/>
  <c r="F55" i="14"/>
  <c r="F56" i="14"/>
  <c r="F57" i="14"/>
  <c r="F58" i="14"/>
  <c r="F59" i="14"/>
  <c r="F60" i="14"/>
  <c r="F61" i="14"/>
  <c r="F62" i="14"/>
  <c r="F63" i="14"/>
  <c r="F64" i="14"/>
  <c r="F65" i="14"/>
  <c r="F66" i="14"/>
  <c r="F67" i="14"/>
  <c r="F68" i="14"/>
  <c r="F69" i="14"/>
  <c r="F70" i="14"/>
  <c r="F71" i="14"/>
  <c r="F72" i="14"/>
  <c r="F73" i="14"/>
  <c r="F74" i="14"/>
  <c r="F75" i="14"/>
  <c r="F76" i="14"/>
  <c r="F77" i="14"/>
  <c r="F78" i="14"/>
  <c r="F79" i="14"/>
  <c r="F80" i="14"/>
  <c r="F81" i="14"/>
  <c r="F82" i="14"/>
  <c r="F83" i="14"/>
  <c r="F84" i="14"/>
  <c r="F85" i="14"/>
  <c r="F86" i="14"/>
  <c r="F87" i="14"/>
  <c r="F88" i="14"/>
  <c r="F89" i="14"/>
  <c r="F90" i="14"/>
  <c r="F91" i="14"/>
  <c r="F92" i="14"/>
  <c r="F93" i="14"/>
  <c r="F94" i="14"/>
  <c r="F95" i="14"/>
  <c r="F96" i="14"/>
  <c r="F97" i="14"/>
  <c r="F98" i="14"/>
  <c r="F99" i="14"/>
  <c r="F100" i="14"/>
  <c r="F101" i="14"/>
  <c r="F102" i="14"/>
  <c r="F103" i="14"/>
  <c r="F104" i="14"/>
  <c r="F105" i="14"/>
  <c r="F106" i="14"/>
  <c r="F107" i="14"/>
  <c r="F108" i="14"/>
  <c r="F109" i="14"/>
  <c r="F110" i="14"/>
  <c r="F111" i="14"/>
  <c r="F112" i="14"/>
  <c r="F113" i="14"/>
  <c r="F114" i="14"/>
  <c r="F115" i="14"/>
  <c r="F116" i="14"/>
  <c r="F117" i="14"/>
  <c r="F118" i="14"/>
  <c r="F119" i="14"/>
  <c r="F120" i="14"/>
  <c r="F121" i="14"/>
  <c r="F122" i="14"/>
  <c r="F123" i="14"/>
  <c r="F124" i="14"/>
  <c r="F125" i="14"/>
  <c r="F126" i="14"/>
  <c r="F127" i="14"/>
  <c r="F128" i="14"/>
  <c r="F129" i="14"/>
  <c r="F130" i="14"/>
  <c r="F131" i="14"/>
  <c r="F132" i="14"/>
  <c r="F133" i="14"/>
  <c r="F134" i="14"/>
  <c r="F135" i="14"/>
  <c r="F136" i="14"/>
  <c r="F137" i="14"/>
  <c r="F138" i="14"/>
  <c r="F139" i="14"/>
  <c r="F140" i="14"/>
  <c r="F141" i="14"/>
  <c r="F142" i="14"/>
  <c r="F143" i="14"/>
  <c r="F144" i="14"/>
  <c r="F145" i="14"/>
  <c r="F146" i="14"/>
  <c r="F147" i="14"/>
  <c r="F148" i="14"/>
  <c r="F149" i="14"/>
  <c r="F150" i="14"/>
  <c r="F151" i="14"/>
  <c r="F152" i="14"/>
  <c r="F153" i="14"/>
  <c r="F154" i="14"/>
  <c r="F155" i="14"/>
  <c r="F156" i="14"/>
  <c r="F157" i="14"/>
  <c r="F158" i="14"/>
  <c r="F159" i="14"/>
  <c r="F160" i="14"/>
  <c r="F161" i="14"/>
  <c r="F162" i="14"/>
  <c r="F163" i="14"/>
  <c r="F164" i="14"/>
  <c r="F165" i="14"/>
  <c r="F166" i="14"/>
  <c r="F167" i="14"/>
  <c r="F168" i="14"/>
  <c r="F169" i="14"/>
  <c r="F170" i="14"/>
  <c r="F171" i="14"/>
  <c r="F172" i="14"/>
  <c r="F173" i="14"/>
  <c r="F174" i="14"/>
  <c r="F175" i="14"/>
  <c r="F176" i="14"/>
  <c r="F177" i="14"/>
  <c r="F178" i="14"/>
  <c r="F179" i="14"/>
  <c r="F180" i="14"/>
  <c r="F181" i="14"/>
  <c r="F182" i="14"/>
  <c r="F183" i="14"/>
  <c r="F184" i="14"/>
  <c r="F185" i="14"/>
  <c r="F186" i="14"/>
  <c r="F187" i="14"/>
  <c r="F188" i="14"/>
  <c r="F189" i="14"/>
  <c r="F190" i="14"/>
  <c r="F191" i="14"/>
  <c r="F192" i="14"/>
  <c r="F193" i="14"/>
  <c r="F194" i="14"/>
  <c r="F195" i="14"/>
  <c r="F196" i="14"/>
  <c r="F197" i="14"/>
  <c r="F198" i="14"/>
  <c r="F199" i="14"/>
  <c r="F200" i="14"/>
  <c r="F201" i="14"/>
  <c r="F202" i="14"/>
  <c r="F203" i="14"/>
  <c r="F204" i="14"/>
  <c r="F205" i="14"/>
  <c r="F206" i="14"/>
  <c r="F207" i="14"/>
  <c r="F208" i="14"/>
  <c r="F209" i="14"/>
  <c r="F210" i="14"/>
  <c r="F211" i="14"/>
  <c r="F212" i="14"/>
  <c r="F213" i="14"/>
  <c r="F214" i="14"/>
  <c r="F215" i="14"/>
  <c r="F216" i="14"/>
  <c r="F217" i="14"/>
  <c r="F218" i="14"/>
  <c r="C45" i="70"/>
  <c r="C43" i="70"/>
  <c r="H219" i="14"/>
  <c r="C36" i="70"/>
  <c r="H6" i="14"/>
  <c r="H7" i="14"/>
  <c r="H8" i="14"/>
  <c r="H9" i="14"/>
  <c r="H10" i="14"/>
  <c r="H11" i="14"/>
  <c r="H12" i="14"/>
  <c r="H13" i="14"/>
  <c r="H14" i="14"/>
  <c r="H15" i="14"/>
  <c r="H16" i="14"/>
  <c r="H17" i="14"/>
  <c r="H18" i="14"/>
  <c r="H19" i="14"/>
  <c r="H20" i="14"/>
  <c r="H21" i="14"/>
  <c r="H22" i="14"/>
  <c r="H23" i="14"/>
  <c r="H24" i="14"/>
  <c r="H25" i="14"/>
  <c r="H26" i="14"/>
  <c r="H27" i="14"/>
  <c r="H28" i="14"/>
  <c r="H29" i="14"/>
  <c r="H30" i="14"/>
  <c r="H31" i="14"/>
  <c r="H32" i="14"/>
  <c r="H33" i="14"/>
  <c r="H34" i="14"/>
  <c r="H35" i="14"/>
  <c r="H36" i="14"/>
  <c r="H37" i="14"/>
  <c r="H38" i="14"/>
  <c r="H39" i="14"/>
  <c r="H40" i="14"/>
  <c r="H41" i="14"/>
  <c r="H42" i="14"/>
  <c r="H43" i="14"/>
  <c r="H44" i="14"/>
  <c r="H45" i="14"/>
  <c r="H46" i="14"/>
  <c r="H47" i="14"/>
  <c r="H48" i="14"/>
  <c r="H49" i="14"/>
  <c r="H50" i="14"/>
  <c r="H51" i="14"/>
  <c r="H52" i="14"/>
  <c r="H53" i="14"/>
  <c r="H54" i="14"/>
  <c r="H55" i="14"/>
  <c r="H56" i="14"/>
  <c r="H57" i="14"/>
  <c r="H58" i="14"/>
  <c r="H59" i="14"/>
  <c r="H60" i="14"/>
  <c r="H61" i="14"/>
  <c r="H62" i="14"/>
  <c r="H63" i="14"/>
  <c r="H64" i="14"/>
  <c r="H65" i="14"/>
  <c r="H66" i="14"/>
  <c r="H67" i="14"/>
  <c r="H68" i="14"/>
  <c r="H69" i="14"/>
  <c r="H70" i="14"/>
  <c r="H71" i="14"/>
  <c r="H72" i="14"/>
  <c r="H73" i="14"/>
  <c r="H74" i="14"/>
  <c r="H75" i="14"/>
  <c r="H76" i="14"/>
  <c r="H77" i="14"/>
  <c r="H78" i="14"/>
  <c r="H79" i="14"/>
  <c r="H80" i="14"/>
  <c r="H81" i="14"/>
  <c r="H82" i="14"/>
  <c r="H83" i="14"/>
  <c r="H84" i="14"/>
  <c r="H85" i="14"/>
  <c r="H86" i="14"/>
  <c r="H87" i="14"/>
  <c r="H88" i="14"/>
  <c r="H89" i="14"/>
  <c r="H90" i="14"/>
  <c r="H91" i="14"/>
  <c r="H92" i="14"/>
  <c r="H93" i="14"/>
  <c r="H94" i="14"/>
  <c r="H95" i="14"/>
  <c r="H96" i="14"/>
  <c r="H97" i="14"/>
  <c r="H98" i="14"/>
  <c r="H99" i="14"/>
  <c r="H100" i="14"/>
  <c r="H101" i="14"/>
  <c r="H102" i="14"/>
  <c r="H103" i="14"/>
  <c r="H104" i="14"/>
  <c r="H105" i="14"/>
  <c r="H106" i="14"/>
  <c r="H107" i="14"/>
  <c r="H108" i="14"/>
  <c r="H109" i="14"/>
  <c r="H110" i="14"/>
  <c r="H111" i="14"/>
  <c r="H112" i="14"/>
  <c r="H113" i="14"/>
  <c r="H114" i="14"/>
  <c r="H115" i="14"/>
  <c r="H116" i="14"/>
  <c r="H117" i="14"/>
  <c r="H118" i="14"/>
  <c r="H119" i="14"/>
  <c r="H120" i="14"/>
  <c r="H121" i="14"/>
  <c r="H122" i="14"/>
  <c r="H123" i="14"/>
  <c r="H124" i="14"/>
  <c r="H125" i="14"/>
  <c r="H126" i="14"/>
  <c r="H127" i="14"/>
  <c r="H128" i="14"/>
  <c r="H129" i="14"/>
  <c r="H130" i="14"/>
  <c r="H131" i="14"/>
  <c r="H132" i="14"/>
  <c r="H133" i="14"/>
  <c r="H134" i="14"/>
  <c r="H135" i="14"/>
  <c r="H136" i="14"/>
  <c r="H137" i="14"/>
  <c r="H138" i="14"/>
  <c r="H139" i="14"/>
  <c r="H140" i="14"/>
  <c r="H141" i="14"/>
  <c r="H142" i="14"/>
  <c r="H143" i="14"/>
  <c r="H144" i="14"/>
  <c r="H145" i="14"/>
  <c r="H146" i="14"/>
  <c r="H147" i="14"/>
  <c r="H148" i="14"/>
  <c r="H149" i="14"/>
  <c r="H150" i="14"/>
  <c r="H151" i="14"/>
  <c r="H152" i="14"/>
  <c r="H153" i="14"/>
  <c r="H154" i="14"/>
  <c r="H155" i="14"/>
  <c r="H156" i="14"/>
  <c r="H157" i="14"/>
  <c r="H158" i="14"/>
  <c r="H159" i="14"/>
  <c r="H160" i="14"/>
  <c r="H161" i="14"/>
  <c r="H162" i="14"/>
  <c r="H163" i="14"/>
  <c r="H164" i="14"/>
  <c r="H165" i="14"/>
  <c r="H166" i="14"/>
  <c r="H167" i="14"/>
  <c r="H168" i="14"/>
  <c r="H169" i="14"/>
  <c r="H170" i="14"/>
  <c r="H171" i="14"/>
  <c r="H172" i="14"/>
  <c r="H173" i="14"/>
  <c r="H174" i="14"/>
  <c r="H175" i="14"/>
  <c r="H176" i="14"/>
  <c r="H177" i="14"/>
  <c r="H178" i="14"/>
  <c r="H179" i="14"/>
  <c r="H180" i="14"/>
  <c r="H181" i="14"/>
  <c r="H182" i="14"/>
  <c r="H183" i="14"/>
  <c r="H184" i="14"/>
  <c r="H185" i="14"/>
  <c r="H186" i="14"/>
  <c r="H187" i="14"/>
  <c r="H188" i="14"/>
  <c r="H189" i="14"/>
  <c r="H190" i="14"/>
  <c r="H191" i="14"/>
  <c r="H192" i="14"/>
  <c r="H193" i="14"/>
  <c r="H194" i="14"/>
  <c r="H195" i="14"/>
  <c r="H196" i="14"/>
  <c r="H197" i="14"/>
  <c r="H198" i="14"/>
  <c r="H199" i="14"/>
  <c r="H200" i="14"/>
  <c r="H201" i="14"/>
  <c r="H202" i="14"/>
  <c r="H203" i="14"/>
  <c r="H204" i="14"/>
  <c r="H205" i="14"/>
  <c r="H206" i="14"/>
  <c r="H207" i="14"/>
  <c r="H208" i="14"/>
  <c r="H209" i="14"/>
  <c r="H210" i="14"/>
  <c r="H211" i="14"/>
  <c r="H212" i="14"/>
  <c r="H213" i="14"/>
  <c r="H214" i="14"/>
  <c r="H215" i="14"/>
  <c r="H216" i="14"/>
  <c r="H217" i="14"/>
  <c r="H218" i="14"/>
  <c r="C33" i="70"/>
  <c r="C32" i="70"/>
  <c r="J219" i="14"/>
  <c r="J6" i="14"/>
  <c r="J7" i="14"/>
  <c r="J8" i="14"/>
  <c r="J9" i="14"/>
  <c r="J10" i="14"/>
  <c r="J11" i="14"/>
  <c r="J12" i="14"/>
  <c r="J13" i="14"/>
  <c r="J14" i="14"/>
  <c r="J15" i="14"/>
  <c r="J16" i="14"/>
  <c r="J17" i="14"/>
  <c r="J18" i="14"/>
  <c r="J19" i="14"/>
  <c r="J20" i="14"/>
  <c r="J21" i="14"/>
  <c r="J22" i="14"/>
  <c r="J23" i="14"/>
  <c r="J24" i="14"/>
  <c r="J25" i="14"/>
  <c r="J26" i="14"/>
  <c r="J27" i="14"/>
  <c r="J28" i="14"/>
  <c r="J29" i="14"/>
  <c r="J30" i="14"/>
  <c r="J31" i="14"/>
  <c r="J32" i="14"/>
  <c r="J33" i="14"/>
  <c r="J34" i="14"/>
  <c r="J35" i="14"/>
  <c r="J36" i="14"/>
  <c r="J37" i="14"/>
  <c r="J38" i="14"/>
  <c r="J39" i="14"/>
  <c r="J40" i="14"/>
  <c r="J41" i="14"/>
  <c r="J42" i="14"/>
  <c r="J43" i="14"/>
  <c r="J44" i="14"/>
  <c r="J45" i="14"/>
  <c r="J46" i="14"/>
  <c r="J47" i="14"/>
  <c r="J48" i="14"/>
  <c r="J49" i="14"/>
  <c r="J50" i="14"/>
  <c r="J51" i="14"/>
  <c r="J52" i="14"/>
  <c r="J53" i="14"/>
  <c r="J54" i="14"/>
  <c r="J55" i="14"/>
  <c r="J56" i="14"/>
  <c r="J57" i="14"/>
  <c r="J58" i="14"/>
  <c r="J59" i="14"/>
  <c r="J60" i="14"/>
  <c r="J61" i="14"/>
  <c r="J62" i="14"/>
  <c r="J63" i="14"/>
  <c r="J64" i="14"/>
  <c r="J65" i="14"/>
  <c r="J66" i="14"/>
  <c r="J67" i="14"/>
  <c r="J68" i="14"/>
  <c r="J69" i="14"/>
  <c r="J70" i="14"/>
  <c r="J71" i="14"/>
  <c r="J72" i="14"/>
  <c r="J73" i="14"/>
  <c r="J74" i="14"/>
  <c r="J75" i="14"/>
  <c r="J76" i="14"/>
  <c r="J77" i="14"/>
  <c r="J78" i="14"/>
  <c r="J79" i="14"/>
  <c r="J80" i="14"/>
  <c r="J81" i="14"/>
  <c r="J82" i="14"/>
  <c r="J83" i="14"/>
  <c r="J84" i="14"/>
  <c r="J85" i="14"/>
  <c r="J86" i="14"/>
  <c r="J87" i="14"/>
  <c r="J88" i="14"/>
  <c r="J89" i="14"/>
  <c r="J90" i="14"/>
  <c r="J91" i="14"/>
  <c r="J92" i="14"/>
  <c r="J93" i="14"/>
  <c r="J94" i="14"/>
  <c r="J95" i="14"/>
  <c r="J96" i="14"/>
  <c r="J97" i="14"/>
  <c r="J98" i="14"/>
  <c r="J99" i="14"/>
  <c r="J100" i="14"/>
  <c r="J101" i="14"/>
  <c r="J102" i="14"/>
  <c r="J103" i="14"/>
  <c r="J104" i="14"/>
  <c r="J105" i="14"/>
  <c r="J106" i="14"/>
  <c r="J107" i="14"/>
  <c r="J108" i="14"/>
  <c r="J109" i="14"/>
  <c r="J110" i="14"/>
  <c r="J111" i="14"/>
  <c r="J112" i="14"/>
  <c r="J113" i="14"/>
  <c r="J114" i="14"/>
  <c r="J115" i="14"/>
  <c r="J116" i="14"/>
  <c r="J117" i="14"/>
  <c r="J118" i="14"/>
  <c r="J119" i="14"/>
  <c r="J120" i="14"/>
  <c r="J121" i="14"/>
  <c r="J122" i="14"/>
  <c r="J123" i="14"/>
  <c r="J124" i="14"/>
  <c r="J125" i="14"/>
  <c r="J126" i="14"/>
  <c r="J127" i="14"/>
  <c r="J128" i="14"/>
  <c r="J129" i="14"/>
  <c r="J130" i="14"/>
  <c r="J131" i="14"/>
  <c r="J132" i="14"/>
  <c r="J133" i="14"/>
  <c r="J134" i="14"/>
  <c r="J135" i="14"/>
  <c r="J136" i="14"/>
  <c r="J137" i="14"/>
  <c r="J138" i="14"/>
  <c r="J139" i="14"/>
  <c r="J140" i="14"/>
  <c r="J141" i="14"/>
  <c r="J142" i="14"/>
  <c r="J143" i="14"/>
  <c r="J144" i="14"/>
  <c r="J145" i="14"/>
  <c r="J146" i="14"/>
  <c r="J147" i="14"/>
  <c r="J148" i="14"/>
  <c r="J149" i="14"/>
  <c r="J150" i="14"/>
  <c r="J151" i="14"/>
  <c r="J152" i="14"/>
  <c r="J153" i="14"/>
  <c r="J154" i="14"/>
  <c r="J155" i="14"/>
  <c r="J156" i="14"/>
  <c r="J157" i="14"/>
  <c r="J158" i="14"/>
  <c r="J159" i="14"/>
  <c r="J160" i="14"/>
  <c r="J161" i="14"/>
  <c r="J162" i="14"/>
  <c r="J163" i="14"/>
  <c r="J164" i="14"/>
  <c r="J165" i="14"/>
  <c r="J166" i="14"/>
  <c r="J167" i="14"/>
  <c r="J168" i="14"/>
  <c r="J169" i="14"/>
  <c r="J170" i="14"/>
  <c r="J171" i="14"/>
  <c r="J172" i="14"/>
  <c r="J173" i="14"/>
  <c r="J174" i="14"/>
  <c r="J175" i="14"/>
  <c r="J176" i="14"/>
  <c r="J177" i="14"/>
  <c r="J178" i="14"/>
  <c r="J179" i="14"/>
  <c r="J180" i="14"/>
  <c r="J181" i="14"/>
  <c r="J182" i="14"/>
  <c r="J183" i="14"/>
  <c r="J184" i="14"/>
  <c r="J185" i="14"/>
  <c r="J186" i="14"/>
  <c r="J187" i="14"/>
  <c r="J188" i="14"/>
  <c r="J189" i="14"/>
  <c r="J190" i="14"/>
  <c r="J191" i="14"/>
  <c r="J192" i="14"/>
  <c r="J193" i="14"/>
  <c r="J194" i="14"/>
  <c r="J195" i="14"/>
  <c r="J196" i="14"/>
  <c r="J197" i="14"/>
  <c r="J198" i="14"/>
  <c r="J199" i="14"/>
  <c r="J200" i="14"/>
  <c r="J201" i="14"/>
  <c r="J202" i="14"/>
  <c r="J203" i="14"/>
  <c r="J204" i="14"/>
  <c r="J205" i="14"/>
  <c r="J206" i="14"/>
  <c r="J207" i="14"/>
  <c r="J208" i="14"/>
  <c r="J209" i="14"/>
  <c r="J210" i="14"/>
  <c r="J211" i="14"/>
  <c r="J212" i="14"/>
  <c r="J213" i="14"/>
  <c r="J214" i="14"/>
  <c r="J215" i="14"/>
  <c r="J216" i="14"/>
  <c r="J217" i="14"/>
  <c r="J218" i="14"/>
  <c r="C18" i="70"/>
  <c r="C16" i="70"/>
  <c r="C15" i="70"/>
  <c r="C9" i="70"/>
  <c r="D9" i="14"/>
  <c r="D10" i="14"/>
  <c r="D11" i="14"/>
  <c r="D12" i="14"/>
  <c r="D13" i="14"/>
  <c r="D14" i="14"/>
  <c r="D15" i="14"/>
  <c r="D16" i="14"/>
  <c r="D17" i="14"/>
  <c r="D18" i="14"/>
  <c r="D19" i="14"/>
  <c r="D20" i="14"/>
  <c r="D21" i="14"/>
  <c r="D22" i="14"/>
  <c r="D23" i="14"/>
  <c r="D24" i="14"/>
  <c r="D25" i="14"/>
  <c r="D26" i="14"/>
  <c r="D27" i="14"/>
  <c r="D28" i="14"/>
  <c r="D29" i="14"/>
  <c r="D30" i="14"/>
  <c r="D31" i="14"/>
  <c r="D32" i="14"/>
  <c r="D33" i="14"/>
  <c r="D34" i="14"/>
  <c r="D35" i="14"/>
  <c r="D36" i="14"/>
  <c r="D37" i="14"/>
  <c r="D38" i="14"/>
  <c r="D39" i="14"/>
  <c r="D40" i="14"/>
  <c r="D41" i="14"/>
  <c r="D42" i="14"/>
  <c r="D43" i="14"/>
  <c r="D44" i="14"/>
  <c r="D45" i="14"/>
  <c r="D46" i="14"/>
  <c r="D47" i="14"/>
  <c r="D48" i="14"/>
  <c r="D49" i="14"/>
  <c r="D50" i="14"/>
  <c r="D51" i="14"/>
  <c r="D52" i="14"/>
  <c r="D53" i="14"/>
  <c r="D54" i="14"/>
  <c r="D55" i="14"/>
  <c r="D56" i="14"/>
  <c r="D57" i="14"/>
  <c r="D58" i="14"/>
  <c r="D59" i="14"/>
  <c r="D60" i="14"/>
  <c r="D61" i="14"/>
  <c r="D62" i="14"/>
  <c r="D63" i="14"/>
  <c r="D64" i="14"/>
  <c r="D65" i="14"/>
  <c r="D66" i="14"/>
  <c r="D67" i="14"/>
  <c r="D68" i="14"/>
  <c r="D69" i="14"/>
  <c r="D70" i="14"/>
  <c r="D71" i="14"/>
  <c r="D72" i="14"/>
  <c r="D73" i="14"/>
  <c r="D74" i="14"/>
  <c r="D75" i="14"/>
  <c r="D76" i="14"/>
  <c r="D77" i="14"/>
  <c r="D78" i="14"/>
  <c r="D79" i="14"/>
  <c r="D80" i="14"/>
  <c r="D81" i="14"/>
  <c r="D82" i="14"/>
  <c r="D83" i="14"/>
  <c r="D84" i="14"/>
  <c r="D85" i="14"/>
  <c r="D86" i="14"/>
  <c r="D87" i="14"/>
  <c r="D88" i="14"/>
  <c r="D89" i="14"/>
  <c r="D90" i="14"/>
  <c r="D91" i="14"/>
  <c r="D92" i="14"/>
  <c r="D93" i="14"/>
  <c r="D94" i="14"/>
  <c r="D95" i="14"/>
  <c r="D96" i="14"/>
  <c r="D97" i="14"/>
  <c r="D98" i="14"/>
  <c r="D99" i="14"/>
  <c r="D100" i="14"/>
  <c r="D101" i="14"/>
  <c r="D102" i="14"/>
  <c r="D103" i="14"/>
  <c r="D104" i="14"/>
  <c r="D105" i="14"/>
  <c r="D106" i="14"/>
  <c r="D107" i="14"/>
  <c r="D108" i="14"/>
  <c r="D109" i="14"/>
  <c r="D110" i="14"/>
  <c r="D111" i="14"/>
  <c r="D112" i="14"/>
  <c r="D113" i="14"/>
  <c r="D114" i="14"/>
  <c r="D115" i="14"/>
  <c r="D116" i="14"/>
  <c r="D117" i="14"/>
  <c r="D118" i="14"/>
  <c r="D119" i="14"/>
  <c r="D120" i="14"/>
  <c r="D121" i="14"/>
  <c r="D122" i="14"/>
  <c r="D123" i="14"/>
  <c r="D124" i="14"/>
  <c r="D125" i="14"/>
  <c r="D126" i="14"/>
  <c r="D127" i="14"/>
  <c r="D128" i="14"/>
  <c r="D129" i="14"/>
  <c r="D130" i="14"/>
  <c r="D131" i="14"/>
  <c r="D132" i="14"/>
  <c r="D133" i="14"/>
  <c r="D134" i="14"/>
  <c r="D135" i="14"/>
  <c r="D136" i="14"/>
  <c r="D137" i="14"/>
  <c r="D138" i="14"/>
  <c r="D139" i="14"/>
  <c r="D140" i="14"/>
  <c r="D141" i="14"/>
  <c r="D142" i="14"/>
  <c r="D143" i="14"/>
  <c r="D144" i="14"/>
  <c r="D145" i="14"/>
  <c r="D146" i="14"/>
  <c r="D147" i="14"/>
  <c r="D148" i="14"/>
  <c r="D149" i="14"/>
  <c r="D150" i="14"/>
  <c r="D151" i="14"/>
  <c r="D152" i="14"/>
  <c r="D153" i="14"/>
  <c r="D154" i="14"/>
  <c r="D155" i="14"/>
  <c r="D156" i="14"/>
  <c r="D157" i="14"/>
  <c r="D158" i="14"/>
  <c r="D159" i="14"/>
  <c r="D160" i="14"/>
  <c r="D161" i="14"/>
  <c r="D162" i="14"/>
  <c r="D163" i="14"/>
  <c r="D164" i="14"/>
  <c r="D165" i="14"/>
  <c r="D166" i="14"/>
  <c r="D167" i="14"/>
  <c r="D168" i="14"/>
  <c r="D169" i="14"/>
  <c r="D170" i="14"/>
  <c r="D171" i="14"/>
  <c r="D172" i="14"/>
  <c r="D173" i="14"/>
  <c r="D174" i="14"/>
  <c r="D175" i="14"/>
  <c r="D176" i="14"/>
  <c r="D177" i="14"/>
  <c r="D178" i="14"/>
  <c r="D179" i="14"/>
  <c r="D180" i="14"/>
  <c r="D181" i="14"/>
  <c r="D182" i="14"/>
  <c r="D183" i="14"/>
  <c r="D184" i="14"/>
  <c r="D185" i="14"/>
  <c r="D186" i="14"/>
  <c r="D187" i="14"/>
  <c r="D188" i="14"/>
  <c r="D189" i="14"/>
  <c r="D190" i="14"/>
  <c r="D191" i="14"/>
  <c r="D192" i="14"/>
  <c r="D193" i="14"/>
  <c r="D194" i="14"/>
  <c r="D195" i="14"/>
  <c r="D196" i="14"/>
  <c r="D197" i="14"/>
  <c r="D198" i="14"/>
  <c r="D199" i="14"/>
  <c r="D200" i="14"/>
  <c r="D201" i="14"/>
  <c r="D202" i="14"/>
  <c r="D203" i="14"/>
  <c r="D204" i="14"/>
  <c r="D205" i="14"/>
  <c r="D206" i="14"/>
  <c r="D207" i="14"/>
  <c r="D208" i="14"/>
  <c r="D209" i="14"/>
  <c r="D210" i="14"/>
  <c r="D211" i="14"/>
  <c r="D212" i="14"/>
  <c r="D213" i="14"/>
  <c r="D214" i="14"/>
  <c r="D215" i="14"/>
  <c r="D216" i="14"/>
  <c r="D217" i="14"/>
  <c r="D218" i="14"/>
  <c r="C7" i="70"/>
  <c r="C6" i="70"/>
  <c r="I220" i="14"/>
  <c r="I219" i="14"/>
  <c r="I218" i="14"/>
  <c r="O6" i="14"/>
  <c r="O5" i="14"/>
  <c r="P6" i="14"/>
  <c r="O7" i="14"/>
  <c r="P7" i="14"/>
  <c r="O8" i="14"/>
  <c r="P8" i="14"/>
  <c r="O9" i="14"/>
  <c r="P9" i="14"/>
  <c r="P11" i="14"/>
  <c r="P12" i="14"/>
  <c r="C50" i="70"/>
  <c r="D50" i="70" s="1"/>
  <c r="E50" i="70" s="1"/>
  <c r="F50" i="70" s="1"/>
  <c r="G50" i="70" s="1"/>
  <c r="H50" i="70" s="1"/>
  <c r="I50" i="70" s="1"/>
  <c r="J50" i="70" s="1"/>
  <c r="K50" i="70" s="1"/>
  <c r="L50" i="70" s="1"/>
  <c r="M50" i="70" s="1"/>
  <c r="C49" i="70"/>
  <c r="D49" i="70" s="1"/>
  <c r="E49" i="70" s="1"/>
  <c r="F49" i="70" s="1"/>
  <c r="G49" i="70" s="1"/>
  <c r="H49" i="70" s="1"/>
  <c r="I49" i="70" s="1"/>
  <c r="J49" i="70" s="1"/>
  <c r="K49" i="70" s="1"/>
  <c r="L49" i="70" s="1"/>
  <c r="M49" i="70" s="1"/>
  <c r="C47" i="70"/>
  <c r="B41" i="70"/>
  <c r="C38" i="70"/>
  <c r="D38" i="70" s="1"/>
  <c r="E38" i="70" s="1"/>
  <c r="F38" i="70" s="1"/>
  <c r="G38" i="70" s="1"/>
  <c r="H38" i="70" s="1"/>
  <c r="I38" i="70" s="1"/>
  <c r="J38" i="70" s="1"/>
  <c r="K38" i="70" s="1"/>
  <c r="L38" i="70" s="1"/>
  <c r="M38" i="70" s="1"/>
  <c r="C37" i="70"/>
  <c r="D37" i="70" s="1"/>
  <c r="E37" i="70" s="1"/>
  <c r="F37" i="70" s="1"/>
  <c r="G37" i="70" s="1"/>
  <c r="H37" i="70" s="1"/>
  <c r="I37" i="70" s="1"/>
  <c r="J37" i="70" s="1"/>
  <c r="K37" i="70" s="1"/>
  <c r="L37" i="70" s="1"/>
  <c r="M37" i="70" s="1"/>
  <c r="C35" i="70"/>
  <c r="B30" i="70"/>
  <c r="C19" i="70"/>
  <c r="D19" i="70" s="1"/>
  <c r="E19" i="70" s="1"/>
  <c r="F19" i="70" s="1"/>
  <c r="G19" i="70" s="1"/>
  <c r="H19" i="70" s="1"/>
  <c r="I19" i="70" s="1"/>
  <c r="J19" i="70" s="1"/>
  <c r="K19" i="70" s="1"/>
  <c r="L19" i="70" s="1"/>
  <c r="M19" i="70" s="1"/>
  <c r="C17" i="70"/>
  <c r="B13" i="70"/>
  <c r="C11" i="70"/>
  <c r="D11" i="70" s="1"/>
  <c r="E11" i="70" s="1"/>
  <c r="F11" i="70" s="1"/>
  <c r="G11" i="70" s="1"/>
  <c r="H11" i="70" s="1"/>
  <c r="I11" i="70" s="1"/>
  <c r="J11" i="70" s="1"/>
  <c r="K11" i="70" s="1"/>
  <c r="L11" i="70" s="1"/>
  <c r="M11" i="70" s="1"/>
  <c r="C10" i="70"/>
  <c r="D10" i="70" s="1"/>
  <c r="E10" i="70" s="1"/>
  <c r="F10" i="70" s="1"/>
  <c r="G10" i="70" s="1"/>
  <c r="H10" i="70" s="1"/>
  <c r="I10" i="70" s="1"/>
  <c r="J10" i="70" s="1"/>
  <c r="K10" i="70" s="1"/>
  <c r="L10" i="70" s="1"/>
  <c r="M10" i="70" s="1"/>
  <c r="C8" i="70"/>
  <c r="D22" i="70"/>
  <c r="D54" i="70"/>
  <c r="E54" i="70" s="1"/>
  <c r="F54" i="70" s="1"/>
  <c r="G54" i="70" s="1"/>
  <c r="H54" i="70" s="1"/>
  <c r="I54" i="70" s="1"/>
  <c r="J54" i="70" s="1"/>
  <c r="K54" i="70" s="1"/>
  <c r="L54" i="70" s="1"/>
  <c r="M54" i="70" s="1"/>
  <c r="D41" i="70"/>
  <c r="D52" i="70" s="1"/>
  <c r="C41" i="70"/>
  <c r="C52" i="70" s="1"/>
  <c r="D30" i="70"/>
  <c r="C30" i="70"/>
  <c r="D28" i="70"/>
  <c r="E28" i="70" s="1"/>
  <c r="F28" i="70" s="1"/>
  <c r="G28" i="70" s="1"/>
  <c r="H28" i="70" s="1"/>
  <c r="I28" i="70" s="1"/>
  <c r="J28" i="70" s="1"/>
  <c r="K28" i="70" s="1"/>
  <c r="L28" i="70" s="1"/>
  <c r="M28" i="70" s="1"/>
  <c r="C22" i="70"/>
  <c r="C24" i="70" s="1"/>
  <c r="B24" i="70"/>
  <c r="B22" i="70"/>
  <c r="D13" i="70"/>
  <c r="C13" i="70"/>
  <c r="D4" i="70"/>
  <c r="C4" i="70"/>
  <c r="D3" i="70"/>
  <c r="C3" i="70"/>
  <c r="L217" i="14"/>
  <c r="F210" i="15"/>
  <c r="E210" i="15"/>
  <c r="D210" i="15"/>
  <c r="C210" i="15"/>
  <c r="B210" i="15"/>
  <c r="L216" i="14"/>
  <c r="F209" i="15"/>
  <c r="E209" i="15"/>
  <c r="D209" i="15"/>
  <c r="C209" i="15"/>
  <c r="B209" i="15"/>
  <c r="L215" i="14"/>
  <c r="F208" i="15"/>
  <c r="E208" i="15"/>
  <c r="D208" i="15"/>
  <c r="C208" i="15"/>
  <c r="B208" i="15"/>
  <c r="L214" i="14"/>
  <c r="F207" i="15"/>
  <c r="E207" i="15"/>
  <c r="D207" i="15"/>
  <c r="C207" i="15"/>
  <c r="B207" i="15"/>
  <c r="L213" i="14"/>
  <c r="F206" i="15"/>
  <c r="E206" i="15"/>
  <c r="D206" i="15"/>
  <c r="C206" i="15"/>
  <c r="B206" i="15"/>
  <c r="L212" i="14"/>
  <c r="F205" i="15"/>
  <c r="E205" i="15"/>
  <c r="D205" i="15"/>
  <c r="C205" i="15"/>
  <c r="B205" i="15"/>
  <c r="L211" i="14"/>
  <c r="F204" i="15"/>
  <c r="E204" i="15"/>
  <c r="D204" i="15"/>
  <c r="C204" i="15"/>
  <c r="B204" i="15"/>
  <c r="L210" i="14"/>
  <c r="F203" i="15"/>
  <c r="E203" i="15"/>
  <c r="D203" i="15"/>
  <c r="C203" i="15"/>
  <c r="B203" i="15"/>
  <c r="L209" i="14"/>
  <c r="F202" i="15"/>
  <c r="E202" i="15"/>
  <c r="D202" i="15"/>
  <c r="C202" i="15"/>
  <c r="B202" i="15"/>
  <c r="L208" i="14"/>
  <c r="F201" i="15"/>
  <c r="E201" i="15"/>
  <c r="D201" i="15"/>
  <c r="C201" i="15"/>
  <c r="B201" i="15"/>
  <c r="L207" i="14"/>
  <c r="F200" i="15"/>
  <c r="E200" i="15"/>
  <c r="D200" i="15"/>
  <c r="C200" i="15"/>
  <c r="B200" i="15"/>
  <c r="L206" i="14"/>
  <c r="F199" i="15"/>
  <c r="E199" i="15"/>
  <c r="D199" i="15"/>
  <c r="C199" i="15"/>
  <c r="B199" i="15"/>
  <c r="L205" i="14"/>
  <c r="F198" i="15"/>
  <c r="E198" i="15"/>
  <c r="D198" i="15"/>
  <c r="C198" i="15"/>
  <c r="B198" i="15"/>
  <c r="L204" i="14"/>
  <c r="F197" i="15"/>
  <c r="E197" i="15"/>
  <c r="D197" i="15"/>
  <c r="C197" i="15"/>
  <c r="B197" i="15"/>
  <c r="L203" i="14"/>
  <c r="F196" i="15"/>
  <c r="E196" i="15"/>
  <c r="D196" i="15"/>
  <c r="C196" i="15"/>
  <c r="B196" i="15"/>
  <c r="L202" i="14"/>
  <c r="F195" i="15"/>
  <c r="E195" i="15"/>
  <c r="D195" i="15"/>
  <c r="C195" i="15"/>
  <c r="B195" i="15"/>
  <c r="L201" i="14"/>
  <c r="F194" i="15"/>
  <c r="E194" i="15"/>
  <c r="D194" i="15"/>
  <c r="C194" i="15"/>
  <c r="B194" i="15"/>
  <c r="L200" i="14"/>
  <c r="F193" i="15"/>
  <c r="E193" i="15"/>
  <c r="D193" i="15"/>
  <c r="C193" i="15"/>
  <c r="B193" i="15"/>
  <c r="L199" i="14"/>
  <c r="F192" i="15"/>
  <c r="E192" i="15"/>
  <c r="D192" i="15"/>
  <c r="C192" i="15"/>
  <c r="B192" i="15"/>
  <c r="L198" i="14"/>
  <c r="F191" i="15"/>
  <c r="E191" i="15"/>
  <c r="D191" i="15"/>
  <c r="C191" i="15"/>
  <c r="B191" i="15"/>
  <c r="L197" i="14"/>
  <c r="F190" i="15"/>
  <c r="E190" i="15"/>
  <c r="D190" i="15"/>
  <c r="C190" i="15"/>
  <c r="B190" i="15"/>
  <c r="L196" i="14"/>
  <c r="F189" i="15"/>
  <c r="E189" i="15"/>
  <c r="D189" i="15"/>
  <c r="C189" i="15"/>
  <c r="B189" i="15"/>
  <c r="L195" i="14"/>
  <c r="F188" i="15"/>
  <c r="E188" i="15"/>
  <c r="D188" i="15"/>
  <c r="C188" i="15"/>
  <c r="B188" i="15"/>
  <c r="L194" i="14"/>
  <c r="F187" i="15"/>
  <c r="E187" i="15"/>
  <c r="D187" i="15"/>
  <c r="C187" i="15"/>
  <c r="B187" i="15"/>
  <c r="L193" i="14"/>
  <c r="F186" i="15"/>
  <c r="E186" i="15"/>
  <c r="D186" i="15"/>
  <c r="C186" i="15"/>
  <c r="B186" i="15"/>
  <c r="L192" i="14"/>
  <c r="F185" i="15"/>
  <c r="E185" i="15"/>
  <c r="D185" i="15"/>
  <c r="C185" i="15"/>
  <c r="B185" i="15"/>
  <c r="L191" i="14"/>
  <c r="F184" i="15"/>
  <c r="E184" i="15"/>
  <c r="D184" i="15"/>
  <c r="C184" i="15"/>
  <c r="B184" i="15"/>
  <c r="L190" i="14"/>
  <c r="F183" i="15"/>
  <c r="E183" i="15"/>
  <c r="D183" i="15"/>
  <c r="C183" i="15"/>
  <c r="B183" i="15"/>
  <c r="F182" i="15"/>
  <c r="E182" i="15"/>
  <c r="D182" i="15"/>
  <c r="C182" i="15"/>
  <c r="B182" i="15"/>
  <c r="F181" i="15"/>
  <c r="E181" i="15"/>
  <c r="D181" i="15"/>
  <c r="C181" i="15"/>
  <c r="B181" i="15"/>
  <c r="F180" i="15"/>
  <c r="E180" i="15"/>
  <c r="D180" i="15"/>
  <c r="C180" i="15"/>
  <c r="B180" i="15"/>
  <c r="F179" i="15"/>
  <c r="E179" i="15"/>
  <c r="D179" i="15"/>
  <c r="C179" i="15"/>
  <c r="B179" i="15"/>
  <c r="F178" i="15"/>
  <c r="E178" i="15"/>
  <c r="D178" i="15"/>
  <c r="C178" i="15"/>
  <c r="B178" i="15"/>
  <c r="F177" i="15"/>
  <c r="E177" i="15"/>
  <c r="D177" i="15"/>
  <c r="C177" i="15"/>
  <c r="B177" i="15"/>
  <c r="F176" i="15"/>
  <c r="E176" i="15"/>
  <c r="D176" i="15"/>
  <c r="C176" i="15"/>
  <c r="B176" i="15"/>
  <c r="F175" i="15"/>
  <c r="E175" i="15"/>
  <c r="D175" i="15"/>
  <c r="C175" i="15"/>
  <c r="B175" i="15"/>
  <c r="F174" i="15"/>
  <c r="E174" i="15"/>
  <c r="D174" i="15"/>
  <c r="C174" i="15"/>
  <c r="B174" i="15"/>
  <c r="F173" i="15"/>
  <c r="E173" i="15"/>
  <c r="D173" i="15"/>
  <c r="C173" i="15"/>
  <c r="B173" i="15"/>
  <c r="L179" i="14"/>
  <c r="F172" i="15"/>
  <c r="E172" i="15"/>
  <c r="D172" i="15"/>
  <c r="C172" i="15"/>
  <c r="B172" i="15"/>
  <c r="L178" i="14"/>
  <c r="F171" i="15"/>
  <c r="E171" i="15"/>
  <c r="D171" i="15"/>
  <c r="C171" i="15"/>
  <c r="B171" i="15"/>
  <c r="L177" i="14"/>
  <c r="F170" i="15"/>
  <c r="E170" i="15"/>
  <c r="D170" i="15"/>
  <c r="C170" i="15"/>
  <c r="B170" i="15"/>
  <c r="L176" i="14"/>
  <c r="F169" i="15"/>
  <c r="E169" i="15"/>
  <c r="D169" i="15"/>
  <c r="C169" i="15"/>
  <c r="B169" i="15"/>
  <c r="L175" i="14"/>
  <c r="F168" i="15"/>
  <c r="E168" i="15"/>
  <c r="D168" i="15"/>
  <c r="C168" i="15"/>
  <c r="B168" i="15"/>
  <c r="L174" i="14"/>
  <c r="F167" i="15"/>
  <c r="E167" i="15"/>
  <c r="D167" i="15"/>
  <c r="C167" i="15"/>
  <c r="B167" i="15"/>
  <c r="L173" i="14"/>
  <c r="F166" i="15"/>
  <c r="E166" i="15"/>
  <c r="D166" i="15"/>
  <c r="C166" i="15"/>
  <c r="B166" i="15"/>
  <c r="L172" i="14"/>
  <c r="F165" i="15"/>
  <c r="E165" i="15"/>
  <c r="D165" i="15"/>
  <c r="C165" i="15"/>
  <c r="B165" i="15"/>
  <c r="L171" i="14"/>
  <c r="F164" i="15"/>
  <c r="E164" i="15"/>
  <c r="D164" i="15"/>
  <c r="C164" i="15"/>
  <c r="B164" i="15"/>
  <c r="L170" i="14"/>
  <c r="F163" i="15"/>
  <c r="E163" i="15"/>
  <c r="D163" i="15"/>
  <c r="C163" i="15"/>
  <c r="B163" i="15"/>
  <c r="L169" i="14"/>
  <c r="F162" i="15"/>
  <c r="E162" i="15"/>
  <c r="D162" i="15"/>
  <c r="C162" i="15"/>
  <c r="B162" i="15"/>
  <c r="L168" i="14"/>
  <c r="F161" i="15"/>
  <c r="E161" i="15"/>
  <c r="D161" i="15"/>
  <c r="C161" i="15"/>
  <c r="B161" i="15"/>
  <c r="L167" i="14"/>
  <c r="F160" i="15"/>
  <c r="E160" i="15"/>
  <c r="D160" i="15"/>
  <c r="C160" i="15"/>
  <c r="B160" i="15"/>
  <c r="L166" i="14"/>
  <c r="F159" i="15"/>
  <c r="E159" i="15"/>
  <c r="D159" i="15"/>
  <c r="C159" i="15"/>
  <c r="B159" i="15"/>
  <c r="L165" i="14"/>
  <c r="F158" i="15"/>
  <c r="E158" i="15"/>
  <c r="D158" i="15"/>
  <c r="C158" i="15"/>
  <c r="B158" i="15"/>
  <c r="L164" i="14"/>
  <c r="F157" i="15"/>
  <c r="E157" i="15"/>
  <c r="D157" i="15"/>
  <c r="C157" i="15"/>
  <c r="B157" i="15"/>
  <c r="L163" i="14"/>
  <c r="F156" i="15"/>
  <c r="E156" i="15"/>
  <c r="D156" i="15"/>
  <c r="C156" i="15"/>
  <c r="B156" i="15"/>
  <c r="L162" i="14"/>
  <c r="F155" i="15"/>
  <c r="E155" i="15"/>
  <c r="D155" i="15"/>
  <c r="C155" i="15"/>
  <c r="B155" i="15"/>
  <c r="L161" i="14"/>
  <c r="F154" i="15"/>
  <c r="E154" i="15"/>
  <c r="D154" i="15"/>
  <c r="C154" i="15"/>
  <c r="B154" i="15"/>
  <c r="L160" i="14"/>
  <c r="F153" i="15"/>
  <c r="E153" i="15"/>
  <c r="D153" i="15"/>
  <c r="C153" i="15"/>
  <c r="B153" i="15"/>
  <c r="L159" i="14"/>
  <c r="F152" i="15"/>
  <c r="E152" i="15"/>
  <c r="D152" i="15"/>
  <c r="C152" i="15"/>
  <c r="B152" i="15"/>
  <c r="L158" i="14"/>
  <c r="F151" i="15"/>
  <c r="E151" i="15"/>
  <c r="D151" i="15"/>
  <c r="C151" i="15"/>
  <c r="B151" i="15"/>
  <c r="L157" i="14"/>
  <c r="F150" i="15"/>
  <c r="E150" i="15"/>
  <c r="D150" i="15"/>
  <c r="C150" i="15"/>
  <c r="B150" i="15"/>
  <c r="L156" i="14"/>
  <c r="F149" i="15"/>
  <c r="E149" i="15"/>
  <c r="D149" i="15"/>
  <c r="C149" i="15"/>
  <c r="B149" i="15"/>
  <c r="L155" i="14"/>
  <c r="F148" i="15"/>
  <c r="E148" i="15"/>
  <c r="D148" i="15"/>
  <c r="C148" i="15"/>
  <c r="B148" i="15"/>
  <c r="L154" i="14"/>
  <c r="F147" i="15"/>
  <c r="E147" i="15"/>
  <c r="D147" i="15"/>
  <c r="C147" i="15"/>
  <c r="B147" i="15"/>
  <c r="L153" i="14"/>
  <c r="F146" i="15"/>
  <c r="E146" i="15"/>
  <c r="D146" i="15"/>
  <c r="C146" i="15"/>
  <c r="B146" i="15"/>
  <c r="L152" i="14"/>
  <c r="F145" i="15"/>
  <c r="E145" i="15"/>
  <c r="D145" i="15"/>
  <c r="C145" i="15"/>
  <c r="B145" i="15"/>
  <c r="L151" i="14"/>
  <c r="F144" i="15"/>
  <c r="E144" i="15"/>
  <c r="D144" i="15"/>
  <c r="C144" i="15"/>
  <c r="B144" i="15"/>
  <c r="L150" i="14"/>
  <c r="F143" i="15"/>
  <c r="E143" i="15"/>
  <c r="D143" i="15"/>
  <c r="C143" i="15"/>
  <c r="B143" i="15"/>
  <c r="L149" i="14"/>
  <c r="F142" i="15"/>
  <c r="E142" i="15"/>
  <c r="D142" i="15"/>
  <c r="C142" i="15"/>
  <c r="B142" i="15"/>
  <c r="L148" i="14"/>
  <c r="F141" i="15"/>
  <c r="E141" i="15"/>
  <c r="D141" i="15"/>
  <c r="C141" i="15"/>
  <c r="B141" i="15"/>
  <c r="L147" i="14"/>
  <c r="F140" i="15"/>
  <c r="E140" i="15"/>
  <c r="D140" i="15"/>
  <c r="C140" i="15"/>
  <c r="B140" i="15"/>
  <c r="L146" i="14"/>
  <c r="F139" i="15"/>
  <c r="E139" i="15"/>
  <c r="D139" i="15"/>
  <c r="C139" i="15"/>
  <c r="B139" i="15"/>
  <c r="L145" i="14"/>
  <c r="F138" i="15"/>
  <c r="E138" i="15"/>
  <c r="D138" i="15"/>
  <c r="C138" i="15"/>
  <c r="B138" i="15"/>
  <c r="L144" i="14"/>
  <c r="F137" i="15"/>
  <c r="E137" i="15"/>
  <c r="D137" i="15"/>
  <c r="C137" i="15"/>
  <c r="B137" i="15"/>
  <c r="L143" i="14"/>
  <c r="F136" i="15"/>
  <c r="E136" i="15"/>
  <c r="D136" i="15"/>
  <c r="C136" i="15"/>
  <c r="B136" i="15"/>
  <c r="L142" i="14"/>
  <c r="F135" i="15"/>
  <c r="E135" i="15"/>
  <c r="D135" i="15"/>
  <c r="C135" i="15"/>
  <c r="B135" i="15"/>
  <c r="L141" i="14"/>
  <c r="F134" i="15"/>
  <c r="E134" i="15"/>
  <c r="D134" i="15"/>
  <c r="C134" i="15"/>
  <c r="B134" i="15"/>
  <c r="L140" i="14"/>
  <c r="F133" i="15"/>
  <c r="E133" i="15"/>
  <c r="D133" i="15"/>
  <c r="C133" i="15"/>
  <c r="B133" i="15"/>
  <c r="L139" i="14"/>
  <c r="F132" i="15"/>
  <c r="E132" i="15"/>
  <c r="D132" i="15"/>
  <c r="C132" i="15"/>
  <c r="B132" i="15"/>
  <c r="L138" i="14"/>
  <c r="F131" i="15"/>
  <c r="E131" i="15"/>
  <c r="D131" i="15"/>
  <c r="C131" i="15"/>
  <c r="B131" i="15"/>
  <c r="L137" i="14"/>
  <c r="F130" i="15"/>
  <c r="E130" i="15"/>
  <c r="D130" i="15"/>
  <c r="C130" i="15"/>
  <c r="B130" i="15"/>
  <c r="L136" i="14"/>
  <c r="F129" i="15"/>
  <c r="E129" i="15"/>
  <c r="D129" i="15"/>
  <c r="C129" i="15"/>
  <c r="B129" i="15"/>
  <c r="L135" i="14"/>
  <c r="F128" i="15"/>
  <c r="E128" i="15"/>
  <c r="D128" i="15"/>
  <c r="C128" i="15"/>
  <c r="B128" i="15"/>
  <c r="F127" i="15"/>
  <c r="E127" i="15"/>
  <c r="D127" i="15"/>
  <c r="C127" i="15"/>
  <c r="B127" i="15"/>
  <c r="L133" i="14"/>
  <c r="F126" i="15"/>
  <c r="E126" i="15"/>
  <c r="D126" i="15"/>
  <c r="C126" i="15"/>
  <c r="B126" i="15"/>
  <c r="L132" i="14"/>
  <c r="F125" i="15"/>
  <c r="E125" i="15"/>
  <c r="D125" i="15"/>
  <c r="C125" i="15"/>
  <c r="B125" i="15"/>
  <c r="L131" i="14"/>
  <c r="F124" i="15"/>
  <c r="E124" i="15"/>
  <c r="D124" i="15"/>
  <c r="C124" i="15"/>
  <c r="B124" i="15"/>
  <c r="L130" i="14"/>
  <c r="F123" i="15"/>
  <c r="E123" i="15"/>
  <c r="D123" i="15"/>
  <c r="C123" i="15"/>
  <c r="B123" i="15"/>
  <c r="L129" i="14"/>
  <c r="F122" i="15"/>
  <c r="E122" i="15"/>
  <c r="D122" i="15"/>
  <c r="C122" i="15"/>
  <c r="B122" i="15"/>
  <c r="L128" i="14"/>
  <c r="F121" i="15"/>
  <c r="E121" i="15"/>
  <c r="D121" i="15"/>
  <c r="C121" i="15"/>
  <c r="B121" i="15"/>
  <c r="L127" i="14"/>
  <c r="F120" i="15"/>
  <c r="E120" i="15"/>
  <c r="D120" i="15"/>
  <c r="C120" i="15"/>
  <c r="B120" i="15"/>
  <c r="F119" i="15"/>
  <c r="E119" i="15"/>
  <c r="D119" i="15"/>
  <c r="C119" i="15"/>
  <c r="B119" i="15"/>
  <c r="L125" i="14"/>
  <c r="F118" i="15"/>
  <c r="E118" i="15"/>
  <c r="D118" i="15"/>
  <c r="C118" i="15"/>
  <c r="B118" i="15"/>
  <c r="L124" i="14"/>
  <c r="F117" i="15"/>
  <c r="E117" i="15"/>
  <c r="D117" i="15"/>
  <c r="C117" i="15"/>
  <c r="B117" i="15"/>
  <c r="L123" i="14"/>
  <c r="F116" i="15"/>
  <c r="E116" i="15"/>
  <c r="D116" i="15"/>
  <c r="C116" i="15"/>
  <c r="B116" i="15"/>
  <c r="L122" i="14"/>
  <c r="F115" i="15"/>
  <c r="E115" i="15"/>
  <c r="D115" i="15"/>
  <c r="C115" i="15"/>
  <c r="B115" i="15"/>
  <c r="L121" i="14"/>
  <c r="F114" i="15"/>
  <c r="E114" i="15"/>
  <c r="D114" i="15"/>
  <c r="C114" i="15"/>
  <c r="B114" i="15"/>
  <c r="L120" i="14"/>
  <c r="F113" i="15"/>
  <c r="E113" i="15"/>
  <c r="D113" i="15"/>
  <c r="C113" i="15"/>
  <c r="B113" i="15"/>
  <c r="L119" i="14"/>
  <c r="F112" i="15"/>
  <c r="E112" i="15"/>
  <c r="D112" i="15"/>
  <c r="C112" i="15"/>
  <c r="B112" i="15"/>
  <c r="F111" i="15"/>
  <c r="E111" i="15"/>
  <c r="D111" i="15"/>
  <c r="C111" i="15"/>
  <c r="B111" i="15"/>
  <c r="L117" i="14"/>
  <c r="F110" i="15"/>
  <c r="E110" i="15"/>
  <c r="D110" i="15"/>
  <c r="C110" i="15"/>
  <c r="B110" i="15"/>
  <c r="L116" i="14"/>
  <c r="F109" i="15"/>
  <c r="E109" i="15"/>
  <c r="D109" i="15"/>
  <c r="C109" i="15"/>
  <c r="B109" i="15"/>
  <c r="L115" i="14"/>
  <c r="F108" i="15"/>
  <c r="E108" i="15"/>
  <c r="D108" i="15"/>
  <c r="C108" i="15"/>
  <c r="B108" i="15"/>
  <c r="L114" i="14"/>
  <c r="F107" i="15"/>
  <c r="E107" i="15"/>
  <c r="D107" i="15"/>
  <c r="C107" i="15"/>
  <c r="B107" i="15"/>
  <c r="L113" i="14"/>
  <c r="F106" i="15"/>
  <c r="E106" i="15"/>
  <c r="D106" i="15"/>
  <c r="C106" i="15"/>
  <c r="B106" i="15"/>
  <c r="L112" i="14"/>
  <c r="F105" i="15"/>
  <c r="E105" i="15"/>
  <c r="D105" i="15"/>
  <c r="C105" i="15"/>
  <c r="B105" i="15"/>
  <c r="L111" i="14"/>
  <c r="F104" i="15"/>
  <c r="E104" i="15"/>
  <c r="D104" i="15"/>
  <c r="C104" i="15"/>
  <c r="B104" i="15"/>
  <c r="L110" i="14"/>
  <c r="F103" i="15"/>
  <c r="E103" i="15"/>
  <c r="D103" i="15"/>
  <c r="C103" i="15"/>
  <c r="B103" i="15"/>
  <c r="L109" i="14"/>
  <c r="F102" i="15"/>
  <c r="E102" i="15"/>
  <c r="D102" i="15"/>
  <c r="C102" i="15"/>
  <c r="B102" i="15"/>
  <c r="L108" i="14"/>
  <c r="F101" i="15"/>
  <c r="E101" i="15"/>
  <c r="D101" i="15"/>
  <c r="C101" i="15"/>
  <c r="B101" i="15"/>
  <c r="L107" i="14"/>
  <c r="F100" i="15"/>
  <c r="E100" i="15"/>
  <c r="D100" i="15"/>
  <c r="C100" i="15"/>
  <c r="B100" i="15"/>
  <c r="L106" i="14"/>
  <c r="F99" i="15"/>
  <c r="E99" i="15"/>
  <c r="D99" i="15"/>
  <c r="C99" i="15"/>
  <c r="B99" i="15"/>
  <c r="L105" i="14"/>
  <c r="F98" i="15"/>
  <c r="E98" i="15"/>
  <c r="D98" i="15"/>
  <c r="C98" i="15"/>
  <c r="B98" i="15"/>
  <c r="L104" i="14"/>
  <c r="F97" i="15"/>
  <c r="E97" i="15"/>
  <c r="D97" i="15"/>
  <c r="C97" i="15"/>
  <c r="B97" i="15"/>
  <c r="L103" i="14"/>
  <c r="F96" i="15"/>
  <c r="E96" i="15"/>
  <c r="D96" i="15"/>
  <c r="C96" i="15"/>
  <c r="B96" i="15"/>
  <c r="L102" i="14"/>
  <c r="F95" i="15"/>
  <c r="E95" i="15"/>
  <c r="D95" i="15"/>
  <c r="C95" i="15"/>
  <c r="B95" i="15"/>
  <c r="L101" i="14"/>
  <c r="F94" i="15"/>
  <c r="E94" i="15"/>
  <c r="D94" i="15"/>
  <c r="C94" i="15"/>
  <c r="B94" i="15"/>
  <c r="L100" i="14"/>
  <c r="F93" i="15"/>
  <c r="E93" i="15"/>
  <c r="D93" i="15"/>
  <c r="C93" i="15"/>
  <c r="B93" i="15"/>
  <c r="L99" i="14"/>
  <c r="F92" i="15"/>
  <c r="E92" i="15"/>
  <c r="D92" i="15"/>
  <c r="C92" i="15"/>
  <c r="B92" i="15"/>
  <c r="L98" i="14"/>
  <c r="F91" i="15"/>
  <c r="E91" i="15"/>
  <c r="D91" i="15"/>
  <c r="C91" i="15"/>
  <c r="B91" i="15"/>
  <c r="L97" i="14"/>
  <c r="F90" i="15"/>
  <c r="E90" i="15"/>
  <c r="D90" i="15"/>
  <c r="C90" i="15"/>
  <c r="B90" i="15"/>
  <c r="L96" i="14"/>
  <c r="F89" i="15"/>
  <c r="E89" i="15"/>
  <c r="D89" i="15"/>
  <c r="C89" i="15"/>
  <c r="B89" i="15"/>
  <c r="L95" i="14"/>
  <c r="F88" i="15"/>
  <c r="E88" i="15"/>
  <c r="D88" i="15"/>
  <c r="C88" i="15"/>
  <c r="B88" i="15"/>
  <c r="L94" i="14"/>
  <c r="F87" i="15"/>
  <c r="E87" i="15"/>
  <c r="D87" i="15"/>
  <c r="C87" i="15"/>
  <c r="B87" i="15"/>
  <c r="L93" i="14"/>
  <c r="F86" i="15"/>
  <c r="E86" i="15"/>
  <c r="D86" i="15"/>
  <c r="C86" i="15"/>
  <c r="B86" i="15"/>
  <c r="L92" i="14"/>
  <c r="F85" i="15"/>
  <c r="E85" i="15"/>
  <c r="D85" i="15"/>
  <c r="C85" i="15"/>
  <c r="B85" i="15"/>
  <c r="L91" i="14"/>
  <c r="F84" i="15"/>
  <c r="E84" i="15"/>
  <c r="D84" i="15"/>
  <c r="C84" i="15"/>
  <c r="B84" i="15"/>
  <c r="L90" i="14"/>
  <c r="F83" i="15"/>
  <c r="E83" i="15"/>
  <c r="D83" i="15"/>
  <c r="C83" i="15"/>
  <c r="B83" i="15"/>
  <c r="L89" i="14"/>
  <c r="F82" i="15"/>
  <c r="E82" i="15"/>
  <c r="D82" i="15"/>
  <c r="C82" i="15"/>
  <c r="B82" i="15"/>
  <c r="L88" i="14"/>
  <c r="F81" i="15"/>
  <c r="E81" i="15"/>
  <c r="D81" i="15"/>
  <c r="C81" i="15"/>
  <c r="B81" i="15"/>
  <c r="L87" i="14"/>
  <c r="F80" i="15"/>
  <c r="E80" i="15"/>
  <c r="D80" i="15"/>
  <c r="C80" i="15"/>
  <c r="B80" i="15"/>
  <c r="L86" i="14"/>
  <c r="F79" i="15"/>
  <c r="E79" i="15"/>
  <c r="D79" i="15"/>
  <c r="C79" i="15"/>
  <c r="B79" i="15"/>
  <c r="L85" i="14"/>
  <c r="F78" i="15"/>
  <c r="E78" i="15"/>
  <c r="D78" i="15"/>
  <c r="C78" i="15"/>
  <c r="B78" i="15"/>
  <c r="L84" i="14"/>
  <c r="F77" i="15"/>
  <c r="E77" i="15"/>
  <c r="D77" i="15"/>
  <c r="C77" i="15"/>
  <c r="B77" i="15"/>
  <c r="L83" i="14"/>
  <c r="F76" i="15"/>
  <c r="E76" i="15"/>
  <c r="D76" i="15"/>
  <c r="C76" i="15"/>
  <c r="B76" i="15"/>
  <c r="L82" i="14"/>
  <c r="F75" i="15"/>
  <c r="E75" i="15"/>
  <c r="D75" i="15"/>
  <c r="C75" i="15"/>
  <c r="B75" i="15"/>
  <c r="L81" i="14"/>
  <c r="F74" i="15"/>
  <c r="E74" i="15"/>
  <c r="D74" i="15"/>
  <c r="C74" i="15"/>
  <c r="B74" i="15"/>
  <c r="L80" i="14"/>
  <c r="F73" i="15"/>
  <c r="E73" i="15"/>
  <c r="D73" i="15"/>
  <c r="C73" i="15"/>
  <c r="B73" i="15"/>
  <c r="L79" i="14"/>
  <c r="F72" i="15"/>
  <c r="E72" i="15"/>
  <c r="D72" i="15"/>
  <c r="C72" i="15"/>
  <c r="B72" i="15"/>
  <c r="L78" i="14"/>
  <c r="F71" i="15"/>
  <c r="E71" i="15"/>
  <c r="D71" i="15"/>
  <c r="C71" i="15"/>
  <c r="B71" i="15"/>
  <c r="L77" i="14"/>
  <c r="F70" i="15"/>
  <c r="E70" i="15"/>
  <c r="D70" i="15"/>
  <c r="C70" i="15"/>
  <c r="B70" i="15"/>
  <c r="L76" i="14"/>
  <c r="F69" i="15"/>
  <c r="E69" i="15"/>
  <c r="D69" i="15"/>
  <c r="C69" i="15"/>
  <c r="B69" i="15"/>
  <c r="L75" i="14"/>
  <c r="F68" i="15"/>
  <c r="E68" i="15"/>
  <c r="D68" i="15"/>
  <c r="C68" i="15"/>
  <c r="B68" i="15"/>
  <c r="L74" i="14"/>
  <c r="F67" i="15"/>
  <c r="E67" i="15"/>
  <c r="D67" i="15"/>
  <c r="C67" i="15"/>
  <c r="B67" i="15"/>
  <c r="L73" i="14"/>
  <c r="F66" i="15"/>
  <c r="E66" i="15"/>
  <c r="D66" i="15"/>
  <c r="C66" i="15"/>
  <c r="B66" i="15"/>
  <c r="L72" i="14"/>
  <c r="F65" i="15"/>
  <c r="E65" i="15"/>
  <c r="D65" i="15"/>
  <c r="C65" i="15"/>
  <c r="B65" i="15"/>
  <c r="L71" i="14"/>
  <c r="F64" i="15"/>
  <c r="E64" i="15"/>
  <c r="D64" i="15"/>
  <c r="C64" i="15"/>
  <c r="B64" i="15"/>
  <c r="L70" i="14"/>
  <c r="F63" i="15"/>
  <c r="E63" i="15"/>
  <c r="D63" i="15"/>
  <c r="C63" i="15"/>
  <c r="B63" i="15"/>
  <c r="L69" i="14"/>
  <c r="F62" i="15"/>
  <c r="E62" i="15"/>
  <c r="D62" i="15"/>
  <c r="C62" i="15"/>
  <c r="B62" i="15"/>
  <c r="L68" i="14"/>
  <c r="F61" i="15"/>
  <c r="E61" i="15"/>
  <c r="D61" i="15"/>
  <c r="C61" i="15"/>
  <c r="B61" i="15"/>
  <c r="L67" i="14"/>
  <c r="F60" i="15"/>
  <c r="E60" i="15"/>
  <c r="D60" i="15"/>
  <c r="C60" i="15"/>
  <c r="B60" i="15"/>
  <c r="L66" i="14"/>
  <c r="F59" i="15"/>
  <c r="E59" i="15"/>
  <c r="D59" i="15"/>
  <c r="C59" i="15"/>
  <c r="B59" i="15"/>
  <c r="L65" i="14"/>
  <c r="F58" i="15"/>
  <c r="E58" i="15"/>
  <c r="D58" i="15"/>
  <c r="C58" i="15"/>
  <c r="B58" i="15"/>
  <c r="L64" i="14"/>
  <c r="F57" i="15"/>
  <c r="E57" i="15"/>
  <c r="D57" i="15"/>
  <c r="C57" i="15"/>
  <c r="B57" i="15"/>
  <c r="L63" i="14"/>
  <c r="F56" i="15"/>
  <c r="E56" i="15"/>
  <c r="D56" i="15"/>
  <c r="C56" i="15"/>
  <c r="B56" i="15"/>
  <c r="L62" i="14"/>
  <c r="F55" i="15"/>
  <c r="E55" i="15"/>
  <c r="D55" i="15"/>
  <c r="C55" i="15"/>
  <c r="B55" i="15"/>
  <c r="L61" i="14"/>
  <c r="F54" i="15"/>
  <c r="E54" i="15"/>
  <c r="D54" i="15"/>
  <c r="C54" i="15"/>
  <c r="B54" i="15"/>
  <c r="L60" i="14"/>
  <c r="F53" i="15"/>
  <c r="E53" i="15"/>
  <c r="D53" i="15"/>
  <c r="C53" i="15"/>
  <c r="B53" i="15"/>
  <c r="L59" i="14"/>
  <c r="F52" i="15"/>
  <c r="E52" i="15"/>
  <c r="D52" i="15"/>
  <c r="C52" i="15"/>
  <c r="B52" i="15"/>
  <c r="L58" i="14"/>
  <c r="F51" i="15"/>
  <c r="E51" i="15"/>
  <c r="D51" i="15"/>
  <c r="C51" i="15"/>
  <c r="B51" i="15"/>
  <c r="L57" i="14"/>
  <c r="F50" i="15"/>
  <c r="E50" i="15"/>
  <c r="D50" i="15"/>
  <c r="C50" i="15"/>
  <c r="B50" i="15"/>
  <c r="L56" i="14"/>
  <c r="F49" i="15"/>
  <c r="E49" i="15"/>
  <c r="D49" i="15"/>
  <c r="C49" i="15"/>
  <c r="B49" i="15"/>
  <c r="L55" i="14"/>
  <c r="F48" i="15"/>
  <c r="E48" i="15"/>
  <c r="D48" i="15"/>
  <c r="C48" i="15"/>
  <c r="B48" i="15"/>
  <c r="L54" i="14"/>
  <c r="F47" i="15"/>
  <c r="E47" i="15"/>
  <c r="D47" i="15"/>
  <c r="C47" i="15"/>
  <c r="B47" i="15"/>
  <c r="L53" i="14"/>
  <c r="F46" i="15"/>
  <c r="E46" i="15"/>
  <c r="D46" i="15"/>
  <c r="C46" i="15"/>
  <c r="B46" i="15"/>
  <c r="L52" i="14"/>
  <c r="F45" i="15"/>
  <c r="E45" i="15"/>
  <c r="D45" i="15"/>
  <c r="C45" i="15"/>
  <c r="B45" i="15"/>
  <c r="L51" i="14"/>
  <c r="F44" i="15"/>
  <c r="E44" i="15"/>
  <c r="D44" i="15"/>
  <c r="C44" i="15"/>
  <c r="B44" i="15"/>
  <c r="L50" i="14"/>
  <c r="F43" i="15"/>
  <c r="E43" i="15"/>
  <c r="D43" i="15"/>
  <c r="C43" i="15"/>
  <c r="B43" i="15"/>
  <c r="L49" i="14"/>
  <c r="F42" i="15"/>
  <c r="E42" i="15"/>
  <c r="D42" i="15"/>
  <c r="C42" i="15"/>
  <c r="B42" i="15"/>
  <c r="L48" i="14"/>
  <c r="F41" i="15"/>
  <c r="E41" i="15"/>
  <c r="D41" i="15"/>
  <c r="C41" i="15"/>
  <c r="B41" i="15"/>
  <c r="L47" i="14"/>
  <c r="F40" i="15"/>
  <c r="E40" i="15"/>
  <c r="D40" i="15"/>
  <c r="C40" i="15"/>
  <c r="B40" i="15"/>
  <c r="L46" i="14"/>
  <c r="F39" i="15"/>
  <c r="E39" i="15"/>
  <c r="D39" i="15"/>
  <c r="C39" i="15"/>
  <c r="B39" i="15"/>
  <c r="L45" i="14"/>
  <c r="F38" i="15"/>
  <c r="E38" i="15"/>
  <c r="D38" i="15"/>
  <c r="C38" i="15"/>
  <c r="B38" i="15"/>
  <c r="L44" i="14"/>
  <c r="F37" i="15"/>
  <c r="E37" i="15"/>
  <c r="D37" i="15"/>
  <c r="C37" i="15"/>
  <c r="B37" i="15"/>
  <c r="L43" i="14"/>
  <c r="F36" i="15"/>
  <c r="E36" i="15"/>
  <c r="D36" i="15"/>
  <c r="C36" i="15"/>
  <c r="B36" i="15"/>
  <c r="L42" i="14"/>
  <c r="F35" i="15"/>
  <c r="E35" i="15"/>
  <c r="D35" i="15"/>
  <c r="C35" i="15"/>
  <c r="B35" i="15"/>
  <c r="L41" i="14"/>
  <c r="F34" i="15"/>
  <c r="E34" i="15"/>
  <c r="D34" i="15"/>
  <c r="C34" i="15"/>
  <c r="B34" i="15"/>
  <c r="L40" i="14"/>
  <c r="F33" i="15"/>
  <c r="E33" i="15"/>
  <c r="D33" i="15"/>
  <c r="C33" i="15"/>
  <c r="B33" i="15"/>
  <c r="L39" i="14"/>
  <c r="F32" i="15"/>
  <c r="E32" i="15"/>
  <c r="D32" i="15"/>
  <c r="C32" i="15"/>
  <c r="B32" i="15"/>
  <c r="L38" i="14"/>
  <c r="F31" i="15"/>
  <c r="E31" i="15"/>
  <c r="D31" i="15"/>
  <c r="C31" i="15"/>
  <c r="B31" i="15"/>
  <c r="L37" i="14"/>
  <c r="F30" i="15"/>
  <c r="E30" i="15"/>
  <c r="D30" i="15"/>
  <c r="C30" i="15"/>
  <c r="B30" i="15"/>
  <c r="L36" i="14"/>
  <c r="F29" i="15"/>
  <c r="E29" i="15"/>
  <c r="D29" i="15"/>
  <c r="C29" i="15"/>
  <c r="B29" i="15"/>
  <c r="L35" i="14"/>
  <c r="F28" i="15"/>
  <c r="E28" i="15"/>
  <c r="D28" i="15"/>
  <c r="C28" i="15"/>
  <c r="B28" i="15"/>
  <c r="F27" i="15"/>
  <c r="E27" i="15"/>
  <c r="D27" i="15"/>
  <c r="C27" i="15"/>
  <c r="B27" i="15"/>
  <c r="L33" i="14"/>
  <c r="F26" i="15"/>
  <c r="E26" i="15"/>
  <c r="D26" i="15"/>
  <c r="C26" i="15"/>
  <c r="B26" i="15"/>
  <c r="L32" i="14"/>
  <c r="F25" i="15"/>
  <c r="E25" i="15"/>
  <c r="D25" i="15"/>
  <c r="C25" i="15"/>
  <c r="B25" i="15"/>
  <c r="L31" i="14"/>
  <c r="F24" i="15"/>
  <c r="E24" i="15"/>
  <c r="D24" i="15"/>
  <c r="C24" i="15"/>
  <c r="B24" i="15"/>
  <c r="L30" i="14"/>
  <c r="F23" i="15"/>
  <c r="E23" i="15"/>
  <c r="D23" i="15"/>
  <c r="C23" i="15"/>
  <c r="B23" i="15"/>
  <c r="L29" i="14"/>
  <c r="F22" i="15"/>
  <c r="E22" i="15"/>
  <c r="D22" i="15"/>
  <c r="C22" i="15"/>
  <c r="B22" i="15"/>
  <c r="L28" i="14"/>
  <c r="F21" i="15"/>
  <c r="E21" i="15"/>
  <c r="D21" i="15"/>
  <c r="C21" i="15"/>
  <c r="B21" i="15"/>
  <c r="L27" i="14"/>
  <c r="F20" i="15"/>
  <c r="E20" i="15"/>
  <c r="D20" i="15"/>
  <c r="C20" i="15"/>
  <c r="B20" i="15"/>
  <c r="F19" i="15"/>
  <c r="E19" i="15"/>
  <c r="D19" i="15"/>
  <c r="C19" i="15"/>
  <c r="B19" i="15"/>
  <c r="L25" i="14"/>
  <c r="F18" i="15"/>
  <c r="E18" i="15"/>
  <c r="D18" i="15"/>
  <c r="C18" i="15"/>
  <c r="B18" i="15"/>
  <c r="L24" i="14"/>
  <c r="F17" i="15"/>
  <c r="E17" i="15"/>
  <c r="D17" i="15"/>
  <c r="C17" i="15"/>
  <c r="B17" i="15"/>
  <c r="L23" i="14"/>
  <c r="F16" i="15"/>
  <c r="E16" i="15"/>
  <c r="D16" i="15"/>
  <c r="C16" i="15"/>
  <c r="B16" i="15"/>
  <c r="L22" i="14"/>
  <c r="F15" i="15"/>
  <c r="E15" i="15"/>
  <c r="D15" i="15"/>
  <c r="C15" i="15"/>
  <c r="B15" i="15"/>
  <c r="L21" i="14"/>
  <c r="F14" i="15"/>
  <c r="E14" i="15"/>
  <c r="D14" i="15"/>
  <c r="C14" i="15"/>
  <c r="B14" i="15"/>
  <c r="L20" i="14"/>
  <c r="F13" i="15"/>
  <c r="E13" i="15"/>
  <c r="D13" i="15"/>
  <c r="C13" i="15"/>
  <c r="B13" i="15"/>
  <c r="L19" i="14"/>
  <c r="F12" i="15"/>
  <c r="E12" i="15"/>
  <c r="D12" i="15"/>
  <c r="C12" i="15"/>
  <c r="B12" i="15"/>
  <c r="F11" i="15"/>
  <c r="E11" i="15"/>
  <c r="D11" i="15"/>
  <c r="C11" i="15"/>
  <c r="B11" i="15"/>
  <c r="L17" i="14"/>
  <c r="F10" i="15"/>
  <c r="E10" i="15"/>
  <c r="D10" i="15"/>
  <c r="C10" i="15"/>
  <c r="B10" i="15"/>
  <c r="L16" i="14"/>
  <c r="F9" i="15"/>
  <c r="E9" i="15"/>
  <c r="D9" i="15"/>
  <c r="C9" i="15"/>
  <c r="B9" i="15"/>
  <c r="L15" i="14"/>
  <c r="F8" i="15"/>
  <c r="E8" i="15"/>
  <c r="D8" i="15"/>
  <c r="C8" i="15"/>
  <c r="B8" i="15"/>
  <c r="L14" i="14"/>
  <c r="F7" i="15"/>
  <c r="E7" i="15"/>
  <c r="D7" i="15"/>
  <c r="C7" i="15"/>
  <c r="B7" i="15"/>
  <c r="L13" i="14"/>
  <c r="F6" i="15"/>
  <c r="E6" i="15"/>
  <c r="D6" i="15"/>
  <c r="C6" i="15"/>
  <c r="B6" i="15"/>
  <c r="L12" i="14"/>
  <c r="F5" i="15"/>
  <c r="E5" i="15"/>
  <c r="D5" i="15"/>
  <c r="C5" i="15"/>
  <c r="B5" i="15"/>
  <c r="L11" i="14"/>
  <c r="F4" i="15"/>
  <c r="E4" i="15"/>
  <c r="D4" i="15"/>
  <c r="C4" i="15"/>
  <c r="B4" i="15"/>
  <c r="L10" i="14"/>
  <c r="F3" i="15"/>
  <c r="E3" i="15"/>
  <c r="D3" i="15"/>
  <c r="C3" i="15"/>
  <c r="B3" i="15"/>
  <c r="L9" i="14"/>
  <c r="F2" i="15"/>
  <c r="E2" i="15"/>
  <c r="D2" i="15"/>
  <c r="C2" i="15"/>
  <c r="B2" i="15"/>
  <c r="F210" i="16"/>
  <c r="E210" i="16"/>
  <c r="D210" i="16"/>
  <c r="C210" i="16"/>
  <c r="B210" i="16"/>
  <c r="F209" i="16"/>
  <c r="E209" i="16"/>
  <c r="D209" i="16"/>
  <c r="C209" i="16"/>
  <c r="B209" i="16"/>
  <c r="F208" i="16"/>
  <c r="E208" i="16"/>
  <c r="D208" i="16"/>
  <c r="C208" i="16"/>
  <c r="B208" i="16"/>
  <c r="F207" i="16"/>
  <c r="E207" i="16"/>
  <c r="D207" i="16"/>
  <c r="C207" i="16"/>
  <c r="B207" i="16"/>
  <c r="F206" i="16"/>
  <c r="E206" i="16"/>
  <c r="D206" i="16"/>
  <c r="C206" i="16"/>
  <c r="B206" i="16"/>
  <c r="F205" i="16"/>
  <c r="E205" i="16"/>
  <c r="D205" i="16"/>
  <c r="C205" i="16"/>
  <c r="B205" i="16"/>
  <c r="F204" i="16"/>
  <c r="E204" i="16"/>
  <c r="D204" i="16"/>
  <c r="C204" i="16"/>
  <c r="B204" i="16"/>
  <c r="F203" i="16"/>
  <c r="E203" i="16"/>
  <c r="D203" i="16"/>
  <c r="C203" i="16"/>
  <c r="B203" i="16"/>
  <c r="F202" i="16"/>
  <c r="E202" i="16"/>
  <c r="D202" i="16"/>
  <c r="C202" i="16"/>
  <c r="B202" i="16"/>
  <c r="F201" i="16"/>
  <c r="E201" i="16"/>
  <c r="D201" i="16"/>
  <c r="C201" i="16"/>
  <c r="B201" i="16"/>
  <c r="F200" i="16"/>
  <c r="E200" i="16"/>
  <c r="D200" i="16"/>
  <c r="C200" i="16"/>
  <c r="B200" i="16"/>
  <c r="F199" i="16"/>
  <c r="E199" i="16"/>
  <c r="D199" i="16"/>
  <c r="C199" i="16"/>
  <c r="B199" i="16"/>
  <c r="F198" i="16"/>
  <c r="E198" i="16"/>
  <c r="D198" i="16"/>
  <c r="C198" i="16"/>
  <c r="B198" i="16"/>
  <c r="F197" i="16"/>
  <c r="E197" i="16"/>
  <c r="D197" i="16"/>
  <c r="C197" i="16"/>
  <c r="B197" i="16"/>
  <c r="F196" i="16"/>
  <c r="E196" i="16"/>
  <c r="D196" i="16"/>
  <c r="C196" i="16"/>
  <c r="B196" i="16"/>
  <c r="F195" i="16"/>
  <c r="E195" i="16"/>
  <c r="D195" i="16"/>
  <c r="C195" i="16"/>
  <c r="B195" i="16"/>
  <c r="F194" i="16"/>
  <c r="E194" i="16"/>
  <c r="D194" i="16"/>
  <c r="C194" i="16"/>
  <c r="B194" i="16"/>
  <c r="F193" i="16"/>
  <c r="E193" i="16"/>
  <c r="D193" i="16"/>
  <c r="C193" i="16"/>
  <c r="B193" i="16"/>
  <c r="F192" i="16"/>
  <c r="E192" i="16"/>
  <c r="D192" i="16"/>
  <c r="C192" i="16"/>
  <c r="B192" i="16"/>
  <c r="F191" i="16"/>
  <c r="E191" i="16"/>
  <c r="D191" i="16"/>
  <c r="C191" i="16"/>
  <c r="B191" i="16"/>
  <c r="F190" i="16"/>
  <c r="E190" i="16"/>
  <c r="D190" i="16"/>
  <c r="C190" i="16"/>
  <c r="B190" i="16"/>
  <c r="F189" i="16"/>
  <c r="E189" i="16"/>
  <c r="D189" i="16"/>
  <c r="C189" i="16"/>
  <c r="B189" i="16"/>
  <c r="F188" i="16"/>
  <c r="E188" i="16"/>
  <c r="D188" i="16"/>
  <c r="C188" i="16"/>
  <c r="B188" i="16"/>
  <c r="F187" i="16"/>
  <c r="E187" i="16"/>
  <c r="D187" i="16"/>
  <c r="C187" i="16"/>
  <c r="B187" i="16"/>
  <c r="F186" i="16"/>
  <c r="E186" i="16"/>
  <c r="D186" i="16"/>
  <c r="C186" i="16"/>
  <c r="B186" i="16"/>
  <c r="F185" i="16"/>
  <c r="E185" i="16"/>
  <c r="D185" i="16"/>
  <c r="C185" i="16"/>
  <c r="B185" i="16"/>
  <c r="F184" i="16"/>
  <c r="E184" i="16"/>
  <c r="D184" i="16"/>
  <c r="C184" i="16"/>
  <c r="B184" i="16"/>
  <c r="F183" i="16"/>
  <c r="E183" i="16"/>
  <c r="D183" i="16"/>
  <c r="C183" i="16"/>
  <c r="B183" i="16"/>
  <c r="F182" i="16"/>
  <c r="E182" i="16"/>
  <c r="D182" i="16"/>
  <c r="C182" i="16"/>
  <c r="B182" i="16"/>
  <c r="F181" i="16"/>
  <c r="E181" i="16"/>
  <c r="D181" i="16"/>
  <c r="C181" i="16"/>
  <c r="B181" i="16"/>
  <c r="F180" i="16"/>
  <c r="E180" i="16"/>
  <c r="D180" i="16"/>
  <c r="C180" i="16"/>
  <c r="B180" i="16"/>
  <c r="F179" i="16"/>
  <c r="E179" i="16"/>
  <c r="D179" i="16"/>
  <c r="C179" i="16"/>
  <c r="B179" i="16"/>
  <c r="F178" i="16"/>
  <c r="E178" i="16"/>
  <c r="D178" i="16"/>
  <c r="C178" i="16"/>
  <c r="B178" i="16"/>
  <c r="F177" i="16"/>
  <c r="E177" i="16"/>
  <c r="D177" i="16"/>
  <c r="C177" i="16"/>
  <c r="B177" i="16"/>
  <c r="F176" i="16"/>
  <c r="E176" i="16"/>
  <c r="D176" i="16"/>
  <c r="C176" i="16"/>
  <c r="B176" i="16"/>
  <c r="F175" i="16"/>
  <c r="E175" i="16"/>
  <c r="D175" i="16"/>
  <c r="C175" i="16"/>
  <c r="B175" i="16"/>
  <c r="F174" i="16"/>
  <c r="E174" i="16"/>
  <c r="D174" i="16"/>
  <c r="C174" i="16"/>
  <c r="B174" i="16"/>
  <c r="F173" i="16"/>
  <c r="E173" i="16"/>
  <c r="D173" i="16"/>
  <c r="C173" i="16"/>
  <c r="B173" i="16"/>
  <c r="F172" i="16"/>
  <c r="E172" i="16"/>
  <c r="D172" i="16"/>
  <c r="C172" i="16"/>
  <c r="B172" i="16"/>
  <c r="F171" i="16"/>
  <c r="E171" i="16"/>
  <c r="D171" i="16"/>
  <c r="C171" i="16"/>
  <c r="B171" i="16"/>
  <c r="F170" i="16"/>
  <c r="E170" i="16"/>
  <c r="D170" i="16"/>
  <c r="C170" i="16"/>
  <c r="B170" i="16"/>
  <c r="F169" i="16"/>
  <c r="E169" i="16"/>
  <c r="D169" i="16"/>
  <c r="C169" i="16"/>
  <c r="B169" i="16"/>
  <c r="F168" i="16"/>
  <c r="E168" i="16"/>
  <c r="D168" i="16"/>
  <c r="C168" i="16"/>
  <c r="B168" i="16"/>
  <c r="F167" i="16"/>
  <c r="E167" i="16"/>
  <c r="D167" i="16"/>
  <c r="C167" i="16"/>
  <c r="B167" i="16"/>
  <c r="F166" i="16"/>
  <c r="E166" i="16"/>
  <c r="D166" i="16"/>
  <c r="C166" i="16"/>
  <c r="B166" i="16"/>
  <c r="F165" i="16"/>
  <c r="E165" i="16"/>
  <c r="D165" i="16"/>
  <c r="C165" i="16"/>
  <c r="B165" i="16"/>
  <c r="F164" i="16"/>
  <c r="E164" i="16"/>
  <c r="D164" i="16"/>
  <c r="C164" i="16"/>
  <c r="B164" i="16"/>
  <c r="F163" i="16"/>
  <c r="E163" i="16"/>
  <c r="D163" i="16"/>
  <c r="C163" i="16"/>
  <c r="B163" i="16"/>
  <c r="F162" i="16"/>
  <c r="E162" i="16"/>
  <c r="D162" i="16"/>
  <c r="C162" i="16"/>
  <c r="B162" i="16"/>
  <c r="F161" i="16"/>
  <c r="E161" i="16"/>
  <c r="D161" i="16"/>
  <c r="C161" i="16"/>
  <c r="B161" i="16"/>
  <c r="F160" i="16"/>
  <c r="E160" i="16"/>
  <c r="D160" i="16"/>
  <c r="C160" i="16"/>
  <c r="B160" i="16"/>
  <c r="F159" i="16"/>
  <c r="E159" i="16"/>
  <c r="D159" i="16"/>
  <c r="C159" i="16"/>
  <c r="B159" i="16"/>
  <c r="F158" i="16"/>
  <c r="E158" i="16"/>
  <c r="D158" i="16"/>
  <c r="C158" i="16"/>
  <c r="B158" i="16"/>
  <c r="F157" i="16"/>
  <c r="E157" i="16"/>
  <c r="D157" i="16"/>
  <c r="C157" i="16"/>
  <c r="B157" i="16"/>
  <c r="F156" i="16"/>
  <c r="E156" i="16"/>
  <c r="D156" i="16"/>
  <c r="C156" i="16"/>
  <c r="B156" i="16"/>
  <c r="F155" i="16"/>
  <c r="E155" i="16"/>
  <c r="D155" i="16"/>
  <c r="C155" i="16"/>
  <c r="B155" i="16"/>
  <c r="F154" i="16"/>
  <c r="E154" i="16"/>
  <c r="D154" i="16"/>
  <c r="C154" i="16"/>
  <c r="B154" i="16"/>
  <c r="F153" i="16"/>
  <c r="E153" i="16"/>
  <c r="D153" i="16"/>
  <c r="C153" i="16"/>
  <c r="B153" i="16"/>
  <c r="F152" i="16"/>
  <c r="E152" i="16"/>
  <c r="D152" i="16"/>
  <c r="C152" i="16"/>
  <c r="B152" i="16"/>
  <c r="F151" i="16"/>
  <c r="E151" i="16"/>
  <c r="D151" i="16"/>
  <c r="C151" i="16"/>
  <c r="B151" i="16"/>
  <c r="F150" i="16"/>
  <c r="E150" i="16"/>
  <c r="D150" i="16"/>
  <c r="C150" i="16"/>
  <c r="B150" i="16"/>
  <c r="F149" i="16"/>
  <c r="E149" i="16"/>
  <c r="D149" i="16"/>
  <c r="C149" i="16"/>
  <c r="B149" i="16"/>
  <c r="F148" i="16"/>
  <c r="E148" i="16"/>
  <c r="D148" i="16"/>
  <c r="C148" i="16"/>
  <c r="B148" i="16"/>
  <c r="F147" i="16"/>
  <c r="E147" i="16"/>
  <c r="D147" i="16"/>
  <c r="C147" i="16"/>
  <c r="B147" i="16"/>
  <c r="F146" i="16"/>
  <c r="E146" i="16"/>
  <c r="D146" i="16"/>
  <c r="C146" i="16"/>
  <c r="B146" i="16"/>
  <c r="F145" i="16"/>
  <c r="E145" i="16"/>
  <c r="D145" i="16"/>
  <c r="C145" i="16"/>
  <c r="B145" i="16"/>
  <c r="F144" i="16"/>
  <c r="E144" i="16"/>
  <c r="D144" i="16"/>
  <c r="C144" i="16"/>
  <c r="B144" i="16"/>
  <c r="F143" i="16"/>
  <c r="E143" i="16"/>
  <c r="D143" i="16"/>
  <c r="C143" i="16"/>
  <c r="B143" i="16"/>
  <c r="F142" i="16"/>
  <c r="E142" i="16"/>
  <c r="D142" i="16"/>
  <c r="C142" i="16"/>
  <c r="B142" i="16"/>
  <c r="F141" i="16"/>
  <c r="E141" i="16"/>
  <c r="D141" i="16"/>
  <c r="C141" i="16"/>
  <c r="B141" i="16"/>
  <c r="F140" i="16"/>
  <c r="E140" i="16"/>
  <c r="D140" i="16"/>
  <c r="C140" i="16"/>
  <c r="B140" i="16"/>
  <c r="F139" i="16"/>
  <c r="E139" i="16"/>
  <c r="D139" i="16"/>
  <c r="C139" i="16"/>
  <c r="B139" i="16"/>
  <c r="F138" i="16"/>
  <c r="E138" i="16"/>
  <c r="D138" i="16"/>
  <c r="C138" i="16"/>
  <c r="B138" i="16"/>
  <c r="F137" i="16"/>
  <c r="E137" i="16"/>
  <c r="D137" i="16"/>
  <c r="C137" i="16"/>
  <c r="B137" i="16"/>
  <c r="F136" i="16"/>
  <c r="E136" i="16"/>
  <c r="D136" i="16"/>
  <c r="C136" i="16"/>
  <c r="B136" i="16"/>
  <c r="F135" i="16"/>
  <c r="E135" i="16"/>
  <c r="D135" i="16"/>
  <c r="C135" i="16"/>
  <c r="B135" i="16"/>
  <c r="F134" i="16"/>
  <c r="E134" i="16"/>
  <c r="D134" i="16"/>
  <c r="C134" i="16"/>
  <c r="B134" i="16"/>
  <c r="F133" i="16"/>
  <c r="E133" i="16"/>
  <c r="D133" i="16"/>
  <c r="C133" i="16"/>
  <c r="B133" i="16"/>
  <c r="F132" i="16"/>
  <c r="E132" i="16"/>
  <c r="D132" i="16"/>
  <c r="C132" i="16"/>
  <c r="B132" i="16"/>
  <c r="F131" i="16"/>
  <c r="E131" i="16"/>
  <c r="D131" i="16"/>
  <c r="C131" i="16"/>
  <c r="B131" i="16"/>
  <c r="F130" i="16"/>
  <c r="E130" i="16"/>
  <c r="D130" i="16"/>
  <c r="C130" i="16"/>
  <c r="B130" i="16"/>
  <c r="F129" i="16"/>
  <c r="E129" i="16"/>
  <c r="D129" i="16"/>
  <c r="C129" i="16"/>
  <c r="B129" i="16"/>
  <c r="F128" i="16"/>
  <c r="E128" i="16"/>
  <c r="D128" i="16"/>
  <c r="C128" i="16"/>
  <c r="B128" i="16"/>
  <c r="F127" i="16"/>
  <c r="E127" i="16"/>
  <c r="D127" i="16"/>
  <c r="C127" i="16"/>
  <c r="B127" i="16"/>
  <c r="F126" i="16"/>
  <c r="E126" i="16"/>
  <c r="D126" i="16"/>
  <c r="C126" i="16"/>
  <c r="B126" i="16"/>
  <c r="F125" i="16"/>
  <c r="E125" i="16"/>
  <c r="D125" i="16"/>
  <c r="C125" i="16"/>
  <c r="B125" i="16"/>
  <c r="F124" i="16"/>
  <c r="E124" i="16"/>
  <c r="D124" i="16"/>
  <c r="C124" i="16"/>
  <c r="B124" i="16"/>
  <c r="F123" i="16"/>
  <c r="E123" i="16"/>
  <c r="D123" i="16"/>
  <c r="C123" i="16"/>
  <c r="B123" i="16"/>
  <c r="F122" i="16"/>
  <c r="E122" i="16"/>
  <c r="D122" i="16"/>
  <c r="C122" i="16"/>
  <c r="B122" i="16"/>
  <c r="F121" i="16"/>
  <c r="E121" i="16"/>
  <c r="D121" i="16"/>
  <c r="C121" i="16"/>
  <c r="B121" i="16"/>
  <c r="F120" i="16"/>
  <c r="E120" i="16"/>
  <c r="D120" i="16"/>
  <c r="C120" i="16"/>
  <c r="B120" i="16"/>
  <c r="F119" i="16"/>
  <c r="E119" i="16"/>
  <c r="D119" i="16"/>
  <c r="C119" i="16"/>
  <c r="B119" i="16"/>
  <c r="F118" i="16"/>
  <c r="E118" i="16"/>
  <c r="D118" i="16"/>
  <c r="C118" i="16"/>
  <c r="B118" i="16"/>
  <c r="F117" i="16"/>
  <c r="E117" i="16"/>
  <c r="D117" i="16"/>
  <c r="C117" i="16"/>
  <c r="B117" i="16"/>
  <c r="F116" i="16"/>
  <c r="E116" i="16"/>
  <c r="D116" i="16"/>
  <c r="C116" i="16"/>
  <c r="B116" i="16"/>
  <c r="F115" i="16"/>
  <c r="E115" i="16"/>
  <c r="D115" i="16"/>
  <c r="C115" i="16"/>
  <c r="B115" i="16"/>
  <c r="F114" i="16"/>
  <c r="E114" i="16"/>
  <c r="D114" i="16"/>
  <c r="C114" i="16"/>
  <c r="B114" i="16"/>
  <c r="F113" i="16"/>
  <c r="E113" i="16"/>
  <c r="D113" i="16"/>
  <c r="C113" i="16"/>
  <c r="B113" i="16"/>
  <c r="F112" i="16"/>
  <c r="E112" i="16"/>
  <c r="D112" i="16"/>
  <c r="C112" i="16"/>
  <c r="B112" i="16"/>
  <c r="F111" i="16"/>
  <c r="E111" i="16"/>
  <c r="D111" i="16"/>
  <c r="C111" i="16"/>
  <c r="B111" i="16"/>
  <c r="F110" i="16"/>
  <c r="E110" i="16"/>
  <c r="D110" i="16"/>
  <c r="C110" i="16"/>
  <c r="B110" i="16"/>
  <c r="F109" i="16"/>
  <c r="E109" i="16"/>
  <c r="D109" i="16"/>
  <c r="C109" i="16"/>
  <c r="B109" i="16"/>
  <c r="F108" i="16"/>
  <c r="E108" i="16"/>
  <c r="D108" i="16"/>
  <c r="C108" i="16"/>
  <c r="B108" i="16"/>
  <c r="F107" i="16"/>
  <c r="E107" i="16"/>
  <c r="D107" i="16"/>
  <c r="C107" i="16"/>
  <c r="B107" i="16"/>
  <c r="F106" i="16"/>
  <c r="E106" i="16"/>
  <c r="D106" i="16"/>
  <c r="C106" i="16"/>
  <c r="B106" i="16"/>
  <c r="F105" i="16"/>
  <c r="E105" i="16"/>
  <c r="D105" i="16"/>
  <c r="C105" i="16"/>
  <c r="B105" i="16"/>
  <c r="F104" i="16"/>
  <c r="E104" i="16"/>
  <c r="D104" i="16"/>
  <c r="C104" i="16"/>
  <c r="B104" i="16"/>
  <c r="F103" i="16"/>
  <c r="E103" i="16"/>
  <c r="D103" i="16"/>
  <c r="C103" i="16"/>
  <c r="B103" i="16"/>
  <c r="F102" i="16"/>
  <c r="E102" i="16"/>
  <c r="D102" i="16"/>
  <c r="C102" i="16"/>
  <c r="B102" i="16"/>
  <c r="F101" i="16"/>
  <c r="E101" i="16"/>
  <c r="D101" i="16"/>
  <c r="C101" i="16"/>
  <c r="B101" i="16"/>
  <c r="F100" i="16"/>
  <c r="E100" i="16"/>
  <c r="D100" i="16"/>
  <c r="C100" i="16"/>
  <c r="B100" i="16"/>
  <c r="F99" i="16"/>
  <c r="E99" i="16"/>
  <c r="D99" i="16"/>
  <c r="C99" i="16"/>
  <c r="B99" i="16"/>
  <c r="F98" i="16"/>
  <c r="E98" i="16"/>
  <c r="D98" i="16"/>
  <c r="C98" i="16"/>
  <c r="B98" i="16"/>
  <c r="F97" i="16"/>
  <c r="E97" i="16"/>
  <c r="D97" i="16"/>
  <c r="C97" i="16"/>
  <c r="B97" i="16"/>
  <c r="F96" i="16"/>
  <c r="E96" i="16"/>
  <c r="D96" i="16"/>
  <c r="C96" i="16"/>
  <c r="B96" i="16"/>
  <c r="F95" i="16"/>
  <c r="E95" i="16"/>
  <c r="D95" i="16"/>
  <c r="C95" i="16"/>
  <c r="B95" i="16"/>
  <c r="F94" i="16"/>
  <c r="E94" i="16"/>
  <c r="D94" i="16"/>
  <c r="C94" i="16"/>
  <c r="B94" i="16"/>
  <c r="F93" i="16"/>
  <c r="E93" i="16"/>
  <c r="D93" i="16"/>
  <c r="C93" i="16"/>
  <c r="B93" i="16"/>
  <c r="F92" i="16"/>
  <c r="E92" i="16"/>
  <c r="D92" i="16"/>
  <c r="C92" i="16"/>
  <c r="B92" i="16"/>
  <c r="F91" i="16"/>
  <c r="E91" i="16"/>
  <c r="D91" i="16"/>
  <c r="C91" i="16"/>
  <c r="B91" i="16"/>
  <c r="F90" i="16"/>
  <c r="E90" i="16"/>
  <c r="D90" i="16"/>
  <c r="C90" i="16"/>
  <c r="B90" i="16"/>
  <c r="F89" i="16"/>
  <c r="E89" i="16"/>
  <c r="D89" i="16"/>
  <c r="C89" i="16"/>
  <c r="B89" i="16"/>
  <c r="F88" i="16"/>
  <c r="E88" i="16"/>
  <c r="D88" i="16"/>
  <c r="C88" i="16"/>
  <c r="B88" i="16"/>
  <c r="F87" i="16"/>
  <c r="E87" i="16"/>
  <c r="D87" i="16"/>
  <c r="C87" i="16"/>
  <c r="B87" i="16"/>
  <c r="F86" i="16"/>
  <c r="E86" i="16"/>
  <c r="D86" i="16"/>
  <c r="C86" i="16"/>
  <c r="B86" i="16"/>
  <c r="F85" i="16"/>
  <c r="E85" i="16"/>
  <c r="D85" i="16"/>
  <c r="C85" i="16"/>
  <c r="B85" i="16"/>
  <c r="F84" i="16"/>
  <c r="E84" i="16"/>
  <c r="D84" i="16"/>
  <c r="C84" i="16"/>
  <c r="B84" i="16"/>
  <c r="F83" i="16"/>
  <c r="E83" i="16"/>
  <c r="D83" i="16"/>
  <c r="C83" i="16"/>
  <c r="B83" i="16"/>
  <c r="F82" i="16"/>
  <c r="E82" i="16"/>
  <c r="D82" i="16"/>
  <c r="C82" i="16"/>
  <c r="B82" i="16"/>
  <c r="F81" i="16"/>
  <c r="E81" i="16"/>
  <c r="D81" i="16"/>
  <c r="C81" i="16"/>
  <c r="B81" i="16"/>
  <c r="F80" i="16"/>
  <c r="E80" i="16"/>
  <c r="D80" i="16"/>
  <c r="C80" i="16"/>
  <c r="B80" i="16"/>
  <c r="F79" i="16"/>
  <c r="E79" i="16"/>
  <c r="D79" i="16"/>
  <c r="C79" i="16"/>
  <c r="B79" i="16"/>
  <c r="F78" i="16"/>
  <c r="E78" i="16"/>
  <c r="D78" i="16"/>
  <c r="C78" i="16"/>
  <c r="B78" i="16"/>
  <c r="F77" i="16"/>
  <c r="E77" i="16"/>
  <c r="D77" i="16"/>
  <c r="C77" i="16"/>
  <c r="B77" i="16"/>
  <c r="F76" i="16"/>
  <c r="E76" i="16"/>
  <c r="D76" i="16"/>
  <c r="C76" i="16"/>
  <c r="B76" i="16"/>
  <c r="F75" i="16"/>
  <c r="E75" i="16"/>
  <c r="D75" i="16"/>
  <c r="C75" i="16"/>
  <c r="B75" i="16"/>
  <c r="F74" i="16"/>
  <c r="E74" i="16"/>
  <c r="D74" i="16"/>
  <c r="C74" i="16"/>
  <c r="B74" i="16"/>
  <c r="F73" i="16"/>
  <c r="E73" i="16"/>
  <c r="D73" i="16"/>
  <c r="C73" i="16"/>
  <c r="B73" i="16"/>
  <c r="F72" i="16"/>
  <c r="E72" i="16"/>
  <c r="D72" i="16"/>
  <c r="C72" i="16"/>
  <c r="B72" i="16"/>
  <c r="F71" i="16"/>
  <c r="E71" i="16"/>
  <c r="D71" i="16"/>
  <c r="C71" i="16"/>
  <c r="B71" i="16"/>
  <c r="F70" i="16"/>
  <c r="E70" i="16"/>
  <c r="D70" i="16"/>
  <c r="C70" i="16"/>
  <c r="B70" i="16"/>
  <c r="F69" i="16"/>
  <c r="E69" i="16"/>
  <c r="D69" i="16"/>
  <c r="C69" i="16"/>
  <c r="B69" i="16"/>
  <c r="F68" i="16"/>
  <c r="E68" i="16"/>
  <c r="D68" i="16"/>
  <c r="C68" i="16"/>
  <c r="B68" i="16"/>
  <c r="F67" i="16"/>
  <c r="E67" i="16"/>
  <c r="D67" i="16"/>
  <c r="C67" i="16"/>
  <c r="B67" i="16"/>
  <c r="F66" i="16"/>
  <c r="E66" i="16"/>
  <c r="D66" i="16"/>
  <c r="C66" i="16"/>
  <c r="B66" i="16"/>
  <c r="F65" i="16"/>
  <c r="E65" i="16"/>
  <c r="D65" i="16"/>
  <c r="C65" i="16"/>
  <c r="B65" i="16"/>
  <c r="F64" i="16"/>
  <c r="E64" i="16"/>
  <c r="D64" i="16"/>
  <c r="C64" i="16"/>
  <c r="B64" i="16"/>
  <c r="F63" i="16"/>
  <c r="E63" i="16"/>
  <c r="D63" i="16"/>
  <c r="C63" i="16"/>
  <c r="B63" i="16"/>
  <c r="F62" i="16"/>
  <c r="E62" i="16"/>
  <c r="D62" i="16"/>
  <c r="C62" i="16"/>
  <c r="B62" i="16"/>
  <c r="F61" i="16"/>
  <c r="E61" i="16"/>
  <c r="D61" i="16"/>
  <c r="C61" i="16"/>
  <c r="B61" i="16"/>
  <c r="F60" i="16"/>
  <c r="E60" i="16"/>
  <c r="D60" i="16"/>
  <c r="C60" i="16"/>
  <c r="B60" i="16"/>
  <c r="F59" i="16"/>
  <c r="E59" i="16"/>
  <c r="D59" i="16"/>
  <c r="C59" i="16"/>
  <c r="B59" i="16"/>
  <c r="F58" i="16"/>
  <c r="E58" i="16"/>
  <c r="D58" i="16"/>
  <c r="C58" i="16"/>
  <c r="B58" i="16"/>
  <c r="F57" i="16"/>
  <c r="E57" i="16"/>
  <c r="D57" i="16"/>
  <c r="C57" i="16"/>
  <c r="B57" i="16"/>
  <c r="F56" i="16"/>
  <c r="E56" i="16"/>
  <c r="D56" i="16"/>
  <c r="C56" i="16"/>
  <c r="B56" i="16"/>
  <c r="F55" i="16"/>
  <c r="E55" i="16"/>
  <c r="D55" i="16"/>
  <c r="C55" i="16"/>
  <c r="B55" i="16"/>
  <c r="F54" i="16"/>
  <c r="E54" i="16"/>
  <c r="D54" i="16"/>
  <c r="C54" i="16"/>
  <c r="B54" i="16"/>
  <c r="F53" i="16"/>
  <c r="E53" i="16"/>
  <c r="D53" i="16"/>
  <c r="C53" i="16"/>
  <c r="B53" i="16"/>
  <c r="F52" i="16"/>
  <c r="E52" i="16"/>
  <c r="D52" i="16"/>
  <c r="C52" i="16"/>
  <c r="B52" i="16"/>
  <c r="F51" i="16"/>
  <c r="E51" i="16"/>
  <c r="D51" i="16"/>
  <c r="C51" i="16"/>
  <c r="B51" i="16"/>
  <c r="F50" i="16"/>
  <c r="E50" i="16"/>
  <c r="D50" i="16"/>
  <c r="C50" i="16"/>
  <c r="B50" i="16"/>
  <c r="F49" i="16"/>
  <c r="E49" i="16"/>
  <c r="D49" i="16"/>
  <c r="C49" i="16"/>
  <c r="B49" i="16"/>
  <c r="F48" i="16"/>
  <c r="E48" i="16"/>
  <c r="D48" i="16"/>
  <c r="C48" i="16"/>
  <c r="B48" i="16"/>
  <c r="F47" i="16"/>
  <c r="E47" i="16"/>
  <c r="D47" i="16"/>
  <c r="C47" i="16"/>
  <c r="B47" i="16"/>
  <c r="F46" i="16"/>
  <c r="E46" i="16"/>
  <c r="D46" i="16"/>
  <c r="C46" i="16"/>
  <c r="B46" i="16"/>
  <c r="F45" i="16"/>
  <c r="E45" i="16"/>
  <c r="D45" i="16"/>
  <c r="C45" i="16"/>
  <c r="B45" i="16"/>
  <c r="F44" i="16"/>
  <c r="E44" i="16"/>
  <c r="D44" i="16"/>
  <c r="C44" i="16"/>
  <c r="B44" i="16"/>
  <c r="F43" i="16"/>
  <c r="E43" i="16"/>
  <c r="D43" i="16"/>
  <c r="C43" i="16"/>
  <c r="B43" i="16"/>
  <c r="F42" i="16"/>
  <c r="E42" i="16"/>
  <c r="D42" i="16"/>
  <c r="C42" i="16"/>
  <c r="B42" i="16"/>
  <c r="F41" i="16"/>
  <c r="E41" i="16"/>
  <c r="D41" i="16"/>
  <c r="C41" i="16"/>
  <c r="B41" i="16"/>
  <c r="F40" i="16"/>
  <c r="E40" i="16"/>
  <c r="D40" i="16"/>
  <c r="C40" i="16"/>
  <c r="B40" i="16"/>
  <c r="F39" i="16"/>
  <c r="E39" i="16"/>
  <c r="D39" i="16"/>
  <c r="C39" i="16"/>
  <c r="B39" i="16"/>
  <c r="F38" i="16"/>
  <c r="E38" i="16"/>
  <c r="D38" i="16"/>
  <c r="C38" i="16"/>
  <c r="B38" i="16"/>
  <c r="F37" i="16"/>
  <c r="E37" i="16"/>
  <c r="D37" i="16"/>
  <c r="C37" i="16"/>
  <c r="B37" i="16"/>
  <c r="F36" i="16"/>
  <c r="E36" i="16"/>
  <c r="D36" i="16"/>
  <c r="C36" i="16"/>
  <c r="B36" i="16"/>
  <c r="F35" i="16"/>
  <c r="E35" i="16"/>
  <c r="D35" i="16"/>
  <c r="C35" i="16"/>
  <c r="B35" i="16"/>
  <c r="F34" i="16"/>
  <c r="E34" i="16"/>
  <c r="D34" i="16"/>
  <c r="C34" i="16"/>
  <c r="B34" i="16"/>
  <c r="F33" i="16"/>
  <c r="E33" i="16"/>
  <c r="D33" i="16"/>
  <c r="C33" i="16"/>
  <c r="B33" i="16"/>
  <c r="F32" i="16"/>
  <c r="E32" i="16"/>
  <c r="D32" i="16"/>
  <c r="C32" i="16"/>
  <c r="B32" i="16"/>
  <c r="F31" i="16"/>
  <c r="E31" i="16"/>
  <c r="D31" i="16"/>
  <c r="C31" i="16"/>
  <c r="B31" i="16"/>
  <c r="F30" i="16"/>
  <c r="E30" i="16"/>
  <c r="D30" i="16"/>
  <c r="C30" i="16"/>
  <c r="B30" i="16"/>
  <c r="F29" i="16"/>
  <c r="E29" i="16"/>
  <c r="D29" i="16"/>
  <c r="C29" i="16"/>
  <c r="B29" i="16"/>
  <c r="F28" i="16"/>
  <c r="E28" i="16"/>
  <c r="D28" i="16"/>
  <c r="C28" i="16"/>
  <c r="B28" i="16"/>
  <c r="F27" i="16"/>
  <c r="E27" i="16"/>
  <c r="D27" i="16"/>
  <c r="C27" i="16"/>
  <c r="B27" i="16"/>
  <c r="F26" i="16"/>
  <c r="E26" i="16"/>
  <c r="D26" i="16"/>
  <c r="C26" i="16"/>
  <c r="B26" i="16"/>
  <c r="F25" i="16"/>
  <c r="E25" i="16"/>
  <c r="D25" i="16"/>
  <c r="C25" i="16"/>
  <c r="B25" i="16"/>
  <c r="F24" i="16"/>
  <c r="E24" i="16"/>
  <c r="D24" i="16"/>
  <c r="C24" i="16"/>
  <c r="B24" i="16"/>
  <c r="F23" i="16"/>
  <c r="E23" i="16"/>
  <c r="D23" i="16"/>
  <c r="C23" i="16"/>
  <c r="B23" i="16"/>
  <c r="F22" i="16"/>
  <c r="E22" i="16"/>
  <c r="D22" i="16"/>
  <c r="C22" i="16"/>
  <c r="B22" i="16"/>
  <c r="F21" i="16"/>
  <c r="E21" i="16"/>
  <c r="D21" i="16"/>
  <c r="C21" i="16"/>
  <c r="B21" i="16"/>
  <c r="F20" i="16"/>
  <c r="E20" i="16"/>
  <c r="D20" i="16"/>
  <c r="C20" i="16"/>
  <c r="B20" i="16"/>
  <c r="F19" i="16"/>
  <c r="E19" i="16"/>
  <c r="D19" i="16"/>
  <c r="C19" i="16"/>
  <c r="B19" i="16"/>
  <c r="F18" i="16"/>
  <c r="E18" i="16"/>
  <c r="D18" i="16"/>
  <c r="C18" i="16"/>
  <c r="B18" i="16"/>
  <c r="F17" i="16"/>
  <c r="E17" i="16"/>
  <c r="D17" i="16"/>
  <c r="C17" i="16"/>
  <c r="B17" i="16"/>
  <c r="F16" i="16"/>
  <c r="E16" i="16"/>
  <c r="D16" i="16"/>
  <c r="C16" i="16"/>
  <c r="B16" i="16"/>
  <c r="F15" i="16"/>
  <c r="E15" i="16"/>
  <c r="D15" i="16"/>
  <c r="C15" i="16"/>
  <c r="B15" i="16"/>
  <c r="F14" i="16"/>
  <c r="E14" i="16"/>
  <c r="D14" i="16"/>
  <c r="C14" i="16"/>
  <c r="B14" i="16"/>
  <c r="F13" i="16"/>
  <c r="E13" i="16"/>
  <c r="D13" i="16"/>
  <c r="C13" i="16"/>
  <c r="B13" i="16"/>
  <c r="F12" i="16"/>
  <c r="E12" i="16"/>
  <c r="D12" i="16"/>
  <c r="C12" i="16"/>
  <c r="B12" i="16"/>
  <c r="F11" i="16"/>
  <c r="E11" i="16"/>
  <c r="D11" i="16"/>
  <c r="C11" i="16"/>
  <c r="B11" i="16"/>
  <c r="F10" i="16"/>
  <c r="E10" i="16"/>
  <c r="D10" i="16"/>
  <c r="C10" i="16"/>
  <c r="B10" i="16"/>
  <c r="F9" i="16"/>
  <c r="E9" i="16"/>
  <c r="D9" i="16"/>
  <c r="C9" i="16"/>
  <c r="B9" i="16"/>
  <c r="F8" i="16"/>
  <c r="E8" i="16"/>
  <c r="D8" i="16"/>
  <c r="C8" i="16"/>
  <c r="B8" i="16"/>
  <c r="F7" i="16"/>
  <c r="E7" i="16"/>
  <c r="D7" i="16"/>
  <c r="C7" i="16"/>
  <c r="B7" i="16"/>
  <c r="F6" i="16"/>
  <c r="E6" i="16"/>
  <c r="D6" i="16"/>
  <c r="C6" i="16"/>
  <c r="B6" i="16"/>
  <c r="F5" i="16"/>
  <c r="E5" i="16"/>
  <c r="D5" i="16"/>
  <c r="C5" i="16"/>
  <c r="B5" i="16"/>
  <c r="F4" i="16"/>
  <c r="E4" i="16"/>
  <c r="D4" i="16"/>
  <c r="C4" i="16"/>
  <c r="B4" i="16"/>
  <c r="F3" i="16"/>
  <c r="E3" i="16"/>
  <c r="D3" i="16"/>
  <c r="C3" i="16"/>
  <c r="B3" i="16"/>
  <c r="F2" i="16"/>
  <c r="E2" i="16"/>
  <c r="D2" i="16"/>
  <c r="C2" i="16"/>
  <c r="B2" i="16"/>
  <c r="F1" i="16"/>
  <c r="E1" i="16"/>
  <c r="D1" i="16"/>
  <c r="C1" i="16"/>
  <c r="B1" i="16"/>
  <c r="A1" i="16"/>
  <c r="L31" i="15"/>
  <c r="K31" i="15"/>
  <c r="J31" i="15"/>
  <c r="I31" i="15"/>
  <c r="K30" i="15"/>
  <c r="J30" i="15"/>
  <c r="I30" i="15"/>
  <c r="J29" i="15"/>
  <c r="I29" i="15"/>
  <c r="I28" i="15"/>
  <c r="O27" i="15"/>
  <c r="L23" i="15"/>
  <c r="K23" i="15"/>
  <c r="J23" i="15"/>
  <c r="I23" i="15"/>
  <c r="K22" i="15"/>
  <c r="J22" i="15"/>
  <c r="I22" i="15"/>
  <c r="J21" i="15"/>
  <c r="I21" i="15"/>
  <c r="I20" i="15"/>
  <c r="O19" i="15"/>
  <c r="L15" i="15"/>
  <c r="K15" i="15"/>
  <c r="J15" i="15"/>
  <c r="I15" i="15"/>
  <c r="K14" i="15"/>
  <c r="J14" i="15"/>
  <c r="I14" i="15"/>
  <c r="J13" i="15"/>
  <c r="I13" i="15"/>
  <c r="I12" i="15"/>
  <c r="O11" i="15"/>
  <c r="L7" i="15"/>
  <c r="K7" i="15"/>
  <c r="J7" i="15"/>
  <c r="I7" i="15"/>
  <c r="K6" i="15"/>
  <c r="J6" i="15"/>
  <c r="I6" i="15"/>
  <c r="J5" i="15"/>
  <c r="I5" i="15"/>
  <c r="I4" i="15"/>
  <c r="O3" i="15"/>
  <c r="L180" i="14"/>
  <c r="L181" i="14"/>
  <c r="L182" i="14"/>
  <c r="L183" i="14"/>
  <c r="L184" i="14"/>
  <c r="L185" i="14"/>
  <c r="L186" i="14"/>
  <c r="L187" i="14"/>
  <c r="L188" i="14"/>
  <c r="L189" i="14"/>
  <c r="L227" i="14"/>
  <c r="K227" i="14"/>
  <c r="J227" i="14"/>
  <c r="I227" i="14"/>
  <c r="H227" i="14"/>
  <c r="G227" i="14"/>
  <c r="F227" i="14"/>
  <c r="E227" i="14"/>
  <c r="D227" i="14"/>
  <c r="C227" i="14"/>
  <c r="L126" i="14"/>
  <c r="L134" i="14"/>
  <c r="L226" i="14"/>
  <c r="K226" i="14"/>
  <c r="J226" i="14"/>
  <c r="I226" i="14"/>
  <c r="H226" i="14"/>
  <c r="G226" i="14"/>
  <c r="F226" i="14"/>
  <c r="E226" i="14"/>
  <c r="D226" i="14"/>
  <c r="C226" i="14"/>
  <c r="L118" i="14"/>
  <c r="L225" i="14"/>
  <c r="K225" i="14"/>
  <c r="J225" i="14"/>
  <c r="I225" i="14"/>
  <c r="H225" i="14"/>
  <c r="G225" i="14"/>
  <c r="F225" i="14"/>
  <c r="E225" i="14"/>
  <c r="D225" i="14"/>
  <c r="C225" i="14"/>
  <c r="L18" i="14"/>
  <c r="L26" i="14"/>
  <c r="L34" i="14"/>
  <c r="L224" i="14"/>
  <c r="K224" i="14"/>
  <c r="J224" i="14"/>
  <c r="I224" i="14"/>
  <c r="H224" i="14"/>
  <c r="G224" i="14"/>
  <c r="F224" i="14"/>
  <c r="E224" i="14"/>
  <c r="D224" i="14"/>
  <c r="C224" i="14"/>
  <c r="L220" i="14"/>
  <c r="J220" i="14"/>
  <c r="H220" i="14"/>
  <c r="F220" i="14"/>
  <c r="D220" i="14"/>
  <c r="L219" i="14"/>
  <c r="L6" i="14"/>
  <c r="L7" i="14"/>
  <c r="L8" i="14"/>
  <c r="L218" i="14"/>
  <c r="A217" i="14"/>
  <c r="A216" i="14"/>
  <c r="A215" i="14"/>
  <c r="A214" i="14"/>
  <c r="A213" i="14"/>
  <c r="A212" i="14"/>
  <c r="A211" i="14"/>
  <c r="A210" i="14"/>
  <c r="A209" i="14"/>
  <c r="A208" i="14"/>
  <c r="A207" i="14"/>
  <c r="A206" i="14"/>
  <c r="A205" i="14"/>
  <c r="A204" i="14"/>
  <c r="A203" i="14"/>
  <c r="A202" i="14"/>
  <c r="A201" i="14"/>
  <c r="A200" i="14"/>
  <c r="A199" i="14"/>
  <c r="A198" i="14"/>
  <c r="A197" i="14"/>
  <c r="A196" i="14"/>
  <c r="A195" i="14"/>
  <c r="A194" i="14"/>
  <c r="A193" i="14"/>
  <c r="A192" i="14"/>
  <c r="A191" i="14"/>
  <c r="A190" i="14"/>
  <c r="A189" i="14"/>
  <c r="A188" i="14"/>
  <c r="A187" i="14"/>
  <c r="A186" i="14"/>
  <c r="A185" i="14"/>
  <c r="A184" i="14"/>
  <c r="A183" i="14"/>
  <c r="A182" i="14"/>
  <c r="A181" i="14"/>
  <c r="A180" i="14"/>
  <c r="A179" i="14"/>
  <c r="A178" i="14"/>
  <c r="A177" i="14"/>
  <c r="A176" i="14"/>
  <c r="A175" i="14"/>
  <c r="A174" i="14"/>
  <c r="A173" i="14"/>
  <c r="A172" i="14"/>
  <c r="A171" i="14"/>
  <c r="A170" i="14"/>
  <c r="A169" i="14"/>
  <c r="A168" i="14"/>
  <c r="A167" i="14"/>
  <c r="A166" i="14"/>
  <c r="A165" i="14"/>
  <c r="A164" i="14"/>
  <c r="A163" i="14"/>
  <c r="A162" i="14"/>
  <c r="A161" i="14"/>
  <c r="A160" i="14"/>
  <c r="A159" i="14"/>
  <c r="A158" i="14"/>
  <c r="A157" i="14"/>
  <c r="A156" i="14"/>
  <c r="A155" i="14"/>
  <c r="A154" i="14"/>
  <c r="A153" i="14"/>
  <c r="A152" i="14"/>
  <c r="A151" i="14"/>
  <c r="A150" i="14"/>
  <c r="A149" i="14"/>
  <c r="A148" i="14"/>
  <c r="A147" i="14"/>
  <c r="A146" i="14"/>
  <c r="A145" i="14"/>
  <c r="A144" i="14"/>
  <c r="A143" i="14"/>
  <c r="A142" i="14"/>
  <c r="A141" i="14"/>
  <c r="A140" i="14"/>
  <c r="A139" i="14"/>
  <c r="A138" i="14"/>
  <c r="A137" i="14"/>
  <c r="A136" i="14"/>
  <c r="A135" i="14"/>
  <c r="A134" i="14"/>
  <c r="A133" i="14"/>
  <c r="A132" i="14"/>
  <c r="A131" i="14"/>
  <c r="A130" i="14"/>
  <c r="A129" i="14"/>
  <c r="A128" i="14"/>
  <c r="A127" i="14"/>
  <c r="A126" i="14"/>
  <c r="A125" i="14"/>
  <c r="A124" i="14"/>
  <c r="A123" i="14"/>
  <c r="A122" i="14"/>
  <c r="A121" i="14"/>
  <c r="A120" i="14"/>
  <c r="A119" i="14"/>
  <c r="A118" i="14"/>
  <c r="A117" i="14"/>
  <c r="A116" i="14"/>
  <c r="A115" i="14"/>
  <c r="A114" i="14"/>
  <c r="A113" i="14"/>
  <c r="A112" i="14"/>
  <c r="A111" i="14"/>
  <c r="A110" i="14"/>
  <c r="A109" i="14"/>
  <c r="A108" i="14"/>
  <c r="A107" i="14"/>
  <c r="A106" i="14"/>
  <c r="A105" i="14"/>
  <c r="A104" i="14"/>
  <c r="A103" i="14"/>
  <c r="A102" i="14"/>
  <c r="A101" i="14"/>
  <c r="A100" i="14"/>
  <c r="A99" i="14"/>
  <c r="A98" i="14"/>
  <c r="A97" i="14"/>
  <c r="A96" i="14"/>
  <c r="A95" i="14"/>
  <c r="A94" i="14"/>
  <c r="A93" i="14"/>
  <c r="A92" i="14"/>
  <c r="A91" i="14"/>
  <c r="A90" i="14"/>
  <c r="A89" i="14"/>
  <c r="A88" i="14"/>
  <c r="A87" i="14"/>
  <c r="A86" i="14"/>
  <c r="A85" i="14"/>
  <c r="A84" i="14"/>
  <c r="A83" i="14"/>
  <c r="A82" i="14"/>
  <c r="A81" i="14"/>
  <c r="A80" i="14"/>
  <c r="A79" i="14"/>
  <c r="A78" i="14"/>
  <c r="A77" i="14"/>
  <c r="A76" i="14"/>
  <c r="A75" i="14"/>
  <c r="A74" i="14"/>
  <c r="A73" i="14"/>
  <c r="A72" i="14"/>
  <c r="A71" i="14"/>
  <c r="A70" i="14"/>
  <c r="A69" i="14"/>
  <c r="A68" i="14"/>
  <c r="A67" i="14"/>
  <c r="A66" i="14"/>
  <c r="A65" i="14"/>
  <c r="A64" i="14"/>
  <c r="A63" i="14"/>
  <c r="A62" i="14"/>
  <c r="A61" i="14"/>
  <c r="A60" i="14"/>
  <c r="A59" i="14"/>
  <c r="A58" i="14"/>
  <c r="A57" i="14"/>
  <c r="A56" i="14"/>
  <c r="A55" i="14"/>
  <c r="A54" i="14"/>
  <c r="A53" i="14"/>
  <c r="A52" i="14"/>
  <c r="A51" i="14"/>
  <c r="A50" i="14"/>
  <c r="A49" i="14"/>
  <c r="A48" i="14"/>
  <c r="A47" i="14"/>
  <c r="A46" i="14"/>
  <c r="A45" i="14"/>
  <c r="A44" i="14"/>
  <c r="A43" i="14"/>
  <c r="A42" i="14"/>
  <c r="A41" i="14"/>
  <c r="A40" i="14"/>
  <c r="A39" i="14"/>
  <c r="A38" i="14"/>
  <c r="A37" i="14"/>
  <c r="A36" i="14"/>
  <c r="A35" i="14"/>
  <c r="A34" i="14"/>
  <c r="A33" i="14"/>
  <c r="A32" i="14"/>
  <c r="A31" i="14"/>
  <c r="A30" i="14"/>
  <c r="A29" i="14"/>
  <c r="A28" i="14"/>
  <c r="A27" i="14"/>
  <c r="A26" i="14"/>
  <c r="A25" i="14"/>
  <c r="A24" i="14"/>
  <c r="A23" i="14"/>
  <c r="A22" i="14"/>
  <c r="A21" i="14"/>
  <c r="A20" i="14"/>
  <c r="A19" i="14"/>
  <c r="A18" i="14"/>
  <c r="A17" i="14"/>
  <c r="A16" i="14"/>
  <c r="A15" i="14"/>
  <c r="A14" i="14"/>
  <c r="A13" i="14"/>
  <c r="A12" i="14"/>
  <c r="A11" i="14"/>
  <c r="A10" i="14"/>
  <c r="A9" i="14"/>
  <c r="A8" i="14"/>
  <c r="A7" i="14"/>
  <c r="A6" i="14"/>
  <c r="A5" i="14"/>
  <c r="I36" i="15"/>
  <c r="I37" i="15"/>
  <c r="I38" i="15"/>
  <c r="I39" i="15"/>
  <c r="J37" i="15"/>
  <c r="J38" i="15"/>
  <c r="J39" i="15"/>
  <c r="K38" i="15"/>
  <c r="K39" i="15"/>
  <c r="L39" i="15"/>
  <c r="O35" i="15"/>
  <c r="D46" i="70"/>
  <c r="G44" i="70"/>
  <c r="K44" i="70"/>
  <c r="I44" i="70"/>
  <c r="D44" i="70"/>
  <c r="H44" i="70"/>
  <c r="L44" i="70"/>
  <c r="E44" i="70"/>
  <c r="M44" i="70"/>
  <c r="F44" i="70"/>
  <c r="J44" i="70"/>
  <c r="D34" i="70"/>
  <c r="F47" i="70"/>
  <c r="F48" i="70"/>
  <c r="G35" i="70"/>
  <c r="H15" i="70"/>
  <c r="D221" i="14"/>
  <c r="D36" i="70"/>
  <c r="H6" i="70"/>
  <c r="K221" i="14"/>
  <c r="K6" i="70"/>
  <c r="D18" i="70"/>
  <c r="L43" i="70"/>
  <c r="D35" i="70"/>
  <c r="I47" i="70"/>
  <c r="F8" i="70"/>
  <c r="H9" i="70"/>
  <c r="E17" i="70"/>
  <c r="D48" i="70"/>
  <c r="E35" i="70"/>
  <c r="I9" i="70"/>
  <c r="D55" i="70"/>
  <c r="E36" i="70"/>
  <c r="L221" i="14"/>
  <c r="I43" i="70"/>
  <c r="D43" i="70"/>
  <c r="L8" i="70"/>
  <c r="J15" i="70"/>
  <c r="M6" i="70"/>
  <c r="K17" i="70"/>
  <c r="E9" i="70"/>
  <c r="H221" i="14"/>
  <c r="L35" i="70"/>
  <c r="J8" i="70"/>
  <c r="D47" i="70"/>
  <c r="H43" i="70"/>
  <c r="J18" i="70"/>
  <c r="E8" i="70"/>
  <c r="L32" i="70"/>
  <c r="K47" i="70"/>
  <c r="F221" i="14"/>
  <c r="E18" i="70"/>
  <c r="H48" i="70"/>
  <c r="I35" i="70"/>
  <c r="M9" i="70"/>
  <c r="E221" i="14"/>
  <c r="I36" i="70"/>
  <c r="E6" i="70"/>
  <c r="I18" i="70"/>
  <c r="F36" i="70"/>
  <c r="F9" i="70"/>
  <c r="J32" i="70"/>
  <c r="M8" i="70"/>
  <c r="H47" i="70"/>
  <c r="K9" i="70"/>
  <c r="L18" i="70"/>
  <c r="D33" i="70"/>
  <c r="C221" i="14"/>
  <c r="D17" i="70"/>
  <c r="E43" i="70"/>
  <c r="H18" i="70"/>
  <c r="G8" i="70"/>
  <c r="J36" i="70"/>
  <c r="D6" i="70"/>
  <c r="E15" i="70"/>
  <c r="K15" i="70"/>
  <c r="D45" i="70"/>
  <c r="L47" i="70"/>
  <c r="D15" i="70"/>
  <c r="J35" i="70"/>
  <c r="I15" i="70"/>
  <c r="G18" i="70"/>
  <c r="G48" i="70"/>
  <c r="F6" i="70"/>
  <c r="G43" i="70"/>
  <c r="L17" i="70"/>
  <c r="M43" i="70"/>
  <c r="D32" i="70"/>
  <c r="H17" i="70"/>
  <c r="K8" i="70"/>
  <c r="K48" i="70"/>
  <c r="L36" i="70"/>
  <c r="K35" i="70"/>
  <c r="H36" i="70"/>
  <c r="K32" i="70"/>
  <c r="F32" i="70"/>
  <c r="G9" i="70"/>
  <c r="J6" i="70"/>
  <c r="D16" i="70"/>
  <c r="L48" i="70"/>
  <c r="M35" i="70"/>
  <c r="F15" i="70"/>
  <c r="I221" i="14"/>
  <c r="I6" i="70"/>
  <c r="E32" i="70"/>
  <c r="F43" i="70"/>
  <c r="E47" i="70"/>
  <c r="D8" i="70"/>
  <c r="K43" i="70"/>
  <c r="F18" i="70"/>
  <c r="D7" i="70"/>
  <c r="H32" i="70"/>
  <c r="G47" i="70"/>
  <c r="H8" i="70"/>
  <c r="G15" i="70"/>
  <c r="G17" i="70"/>
  <c r="G221" i="14"/>
  <c r="K36" i="70"/>
  <c r="G6" i="70"/>
  <c r="J17" i="70"/>
  <c r="E48" i="70"/>
  <c r="D9" i="70"/>
  <c r="G36" i="70"/>
  <c r="F17" i="70"/>
  <c r="J48" i="70"/>
  <c r="L6" i="70"/>
  <c r="F35" i="70"/>
  <c r="J43" i="70"/>
  <c r="G32" i="70"/>
  <c r="L15" i="70"/>
  <c r="I8" i="70"/>
  <c r="L9" i="70"/>
  <c r="H35" i="70"/>
  <c r="J47" i="70"/>
  <c r="I17" i="70"/>
  <c r="J221" i="14"/>
  <c r="J9" i="70"/>
  <c r="K18" i="70"/>
  <c r="I48" i="70"/>
  <c r="I32" i="70"/>
  <c r="E4" i="70" l="1"/>
  <c r="E13" i="70"/>
  <c r="E22" i="70"/>
  <c r="E41" i="70"/>
  <c r="E52" i="70" s="1"/>
  <c r="F2" i="70"/>
  <c r="E3" i="70"/>
  <c r="C25" i="70"/>
  <c r="C26" i="70" s="1"/>
  <c r="F3" i="70"/>
  <c r="P66" i="70"/>
  <c r="E24" i="70"/>
  <c r="D24" i="70"/>
  <c r="E46" i="70"/>
  <c r="E34" i="70"/>
  <c r="E16" i="70"/>
  <c r="E7" i="70"/>
  <c r="E33" i="70"/>
  <c r="E45" i="70"/>
  <c r="F30" i="70" l="1"/>
  <c r="F13" i="70"/>
  <c r="F4" i="70"/>
  <c r="F41" i="70"/>
  <c r="F52" i="70" s="1"/>
  <c r="F22" i="70"/>
  <c r="F24" i="70" s="1"/>
  <c r="F25" i="70" s="1"/>
  <c r="F26" i="70" s="1"/>
  <c r="G2" i="70"/>
  <c r="C27" i="70"/>
  <c r="D27" i="70" s="1"/>
  <c r="E27" i="70" s="1"/>
  <c r="F27" i="70" s="1"/>
  <c r="G27" i="70" s="1"/>
  <c r="H27" i="70" s="1"/>
  <c r="I27" i="70" s="1"/>
  <c r="J27" i="70" s="1"/>
  <c r="K27" i="70" s="1"/>
  <c r="L27" i="70" s="1"/>
  <c r="M27" i="70" s="1"/>
  <c r="E25" i="70"/>
  <c r="E26" i="70" s="1"/>
  <c r="D25" i="70"/>
  <c r="D26" i="70" s="1"/>
  <c r="F46" i="70"/>
  <c r="F34" i="70"/>
  <c r="F33" i="70"/>
  <c r="F45" i="70"/>
  <c r="F7" i="70"/>
  <c r="F16" i="70"/>
  <c r="G16" i="70"/>
  <c r="G45" i="70"/>
  <c r="G33" i="70"/>
  <c r="G7" i="70"/>
  <c r="H7" i="70"/>
  <c r="H16" i="70"/>
  <c r="H33" i="70"/>
  <c r="H45" i="70"/>
  <c r="I16" i="70"/>
  <c r="I7" i="70"/>
  <c r="I33" i="70"/>
  <c r="I45" i="70"/>
  <c r="J45" i="70"/>
  <c r="J16" i="70"/>
  <c r="J33" i="70"/>
  <c r="J7" i="70"/>
  <c r="K7" i="70"/>
  <c r="K33" i="70"/>
  <c r="K45" i="70"/>
  <c r="K16" i="70"/>
  <c r="L16" i="70"/>
  <c r="L45" i="70"/>
  <c r="L33" i="70"/>
  <c r="L7" i="70"/>
  <c r="M7" i="70" s="1"/>
  <c r="H2" i="70" l="1"/>
  <c r="G30" i="70"/>
  <c r="G13" i="70"/>
  <c r="G3" i="70"/>
  <c r="G41" i="70"/>
  <c r="G52" i="70" s="1"/>
  <c r="G22" i="70"/>
  <c r="G24" i="70" s="1"/>
  <c r="G25" i="70" s="1"/>
  <c r="G26" i="70" s="1"/>
  <c r="G4" i="70"/>
  <c r="G46" i="70"/>
  <c r="G34" i="70"/>
  <c r="H22" i="70" l="1"/>
  <c r="H24" i="70" s="1"/>
  <c r="H41" i="70"/>
  <c r="H52" i="70" s="1"/>
  <c r="H4" i="70"/>
  <c r="H30" i="70"/>
  <c r="I2" i="70"/>
  <c r="H3" i="70"/>
  <c r="H13" i="70"/>
  <c r="H46" i="70"/>
  <c r="H34" i="70"/>
  <c r="I13" i="70" l="1"/>
  <c r="I4" i="70"/>
  <c r="I30" i="70"/>
  <c r="J2" i="70"/>
  <c r="I41" i="70"/>
  <c r="I52" i="70" s="1"/>
  <c r="I3" i="70"/>
  <c r="I22" i="70"/>
  <c r="I24" i="70" s="1"/>
  <c r="I25" i="70" s="1"/>
  <c r="I26" i="70" s="1"/>
  <c r="H25" i="70"/>
  <c r="H26" i="70" s="1"/>
  <c r="I46" i="70"/>
  <c r="I34" i="70"/>
  <c r="J3" i="70" l="1"/>
  <c r="K2" i="70"/>
  <c r="J22" i="70"/>
  <c r="J24" i="70" s="1"/>
  <c r="J25" i="70" s="1"/>
  <c r="J26" i="70" s="1"/>
  <c r="J30" i="70"/>
  <c r="J4" i="70"/>
  <c r="J41" i="70"/>
  <c r="J52" i="70" s="1"/>
  <c r="J13" i="70"/>
  <c r="J46" i="70"/>
  <c r="J34" i="70"/>
  <c r="K22" i="70" l="1"/>
  <c r="K24" i="70" s="1"/>
  <c r="K25" i="70" s="1"/>
  <c r="K26" i="70" s="1"/>
  <c r="L2" i="70"/>
  <c r="K4" i="70"/>
  <c r="K41" i="70"/>
  <c r="K52" i="70" s="1"/>
  <c r="K13" i="70"/>
  <c r="K3" i="70"/>
  <c r="K30" i="70"/>
  <c r="K46" i="70"/>
  <c r="K34" i="70"/>
  <c r="L13" i="70" l="1"/>
  <c r="L22" i="70"/>
  <c r="L24" i="70" s="1"/>
  <c r="L25" i="70" s="1"/>
  <c r="L26" i="70" s="1"/>
  <c r="L41" i="70"/>
  <c r="L52" i="70" s="1"/>
  <c r="L4" i="70"/>
  <c r="L30" i="70"/>
  <c r="M2" i="70"/>
  <c r="L3" i="70"/>
  <c r="L46" i="70"/>
  <c r="M46" i="70" s="1"/>
  <c r="L34" i="70"/>
  <c r="M34" i="70" s="1"/>
  <c r="P68" i="70" l="1"/>
  <c r="M41" i="70"/>
  <c r="M3" i="70"/>
  <c r="M30" i="70"/>
  <c r="M4" i="70"/>
  <c r="N2" i="70"/>
  <c r="M13" i="70"/>
  <c r="M22" i="70"/>
  <c r="M48" i="70"/>
  <c r="M47" i="70"/>
  <c r="M45" i="70"/>
  <c r="M32" i="70"/>
  <c r="M36" i="70"/>
  <c r="M33" i="70"/>
  <c r="M17" i="70"/>
  <c r="M18" i="70"/>
  <c r="M15" i="70"/>
  <c r="M16" i="70"/>
  <c r="P67" i="70" l="1"/>
  <c r="M24" i="70"/>
  <c r="M52" i="70"/>
  <c r="M25" i="70" l="1"/>
  <c r="M26" i="70"/>
</calcChain>
</file>

<file path=xl/comments1.xml><?xml version="1.0" encoding="utf-8"?>
<comments xmlns="http://schemas.openxmlformats.org/spreadsheetml/2006/main">
  <authors>
    <author>nemo</author>
    <author>S Mongeau</author>
  </authors>
  <commentList>
    <comment ref="C6" authorId="0">
      <text>
        <r>
          <rPr>
            <b/>
            <sz val="9"/>
            <color indexed="81"/>
            <rFont val="Tahoma"/>
            <family val="2"/>
          </rPr>
          <t>S Mongeau:</t>
        </r>
        <r>
          <rPr>
            <sz val="9"/>
            <color indexed="81"/>
            <rFont val="Tahoma"/>
            <family val="2"/>
          </rPr>
          <t xml:space="preserve">
Starting price based on 2010 average (Jan - end Oct)
</t>
        </r>
      </text>
    </comment>
    <comment ref="C15" authorId="0">
      <text>
        <r>
          <rPr>
            <b/>
            <sz val="9"/>
            <color indexed="81"/>
            <rFont val="Tahoma"/>
            <family val="2"/>
          </rPr>
          <t xml:space="preserve">S Mongeau:
</t>
        </r>
        <r>
          <rPr>
            <sz val="9"/>
            <color indexed="81"/>
            <rFont val="Tahoma"/>
            <family val="2"/>
          </rPr>
          <t>Starting price based on 2010 average (Jan - end Oct)</t>
        </r>
      </text>
    </comment>
    <comment ref="B22" authorId="1">
      <text>
        <r>
          <rPr>
            <b/>
            <sz val="9"/>
            <color indexed="81"/>
            <rFont val="Tahoma"/>
            <family val="2"/>
          </rPr>
          <t>S Mongeau: (via Hans)</t>
        </r>
        <r>
          <rPr>
            <sz val="9"/>
            <color indexed="81"/>
            <rFont val="Tahoma"/>
            <family val="2"/>
          </rPr>
          <t xml:space="preserve">
Cellulosic Biofuel Waiver Credits: Part I :  Posted on March 31, 2010 by Alan Bickerstaff 
On February 3, 2010, the U.S. EPA finalized its long-awaited amendments to the National Renewable Fuel Standard program (“RFS2”), which increased mandated quotas of ethanol, biodiesel and other biofuels in the U.S. transportation fuel supply.... EPA has determined that projected volume for cellulosic biofuels production for 2010 would be 6.5 million gallons, well below the 100 million gallon mandate in EISA and the EPA’s proposed rule issued in May 2009. When the project volume is less than the mandate required by EISA (“Short Years”), the EPA is required to make Waiver Credits available for sale to obligated parties in order to allow obligated parties to meet their renewable volume obligations under EISA.
EISA requires the price of Waiver Credits to be an inflation-adjusted price that is the </t>
        </r>
        <r>
          <rPr>
            <b/>
            <u/>
            <sz val="9"/>
            <color indexed="81"/>
            <rFont val="Tahoma"/>
            <family val="2"/>
          </rPr>
          <t>higher of (i) $0.25 per gallon or (ii) the amount by which $3.00 per gallon exceeds the average wholesale price of a gallon of gasoline in the Unites States</t>
        </r>
        <r>
          <rPr>
            <sz val="9"/>
            <color indexed="81"/>
            <rFont val="Tahoma"/>
            <family val="2"/>
          </rPr>
          <t xml:space="preserve">. Based on this formula, EPA stated it will make available these Waiver Credits available for a price of $1.58 per gallon-RIN for compliance year 2010. Generally speaking, this means that an obligated party should be indifferent between buying a gallon of gasoline plus a Waiver Credit versus buying a gallon of cellulosic biofuel for a price equal to or less than the price of the gallon of gasoline plus the cost of the Waiver Credit. 
For example, if a gallon of gasoline costs $1.50 in 2010, an obligated party would pay $3.08 ($1.50 + $1.58) to sell a gallon of fuel and comply with its renewable volume obligation. Alternatively, the obligated party could buy a gallon of cellulosic biofuel for some price equal to or less than $3.08 (most likely a cellulosic biofuels producer would offer a discount to make the decision easy for the obligated party).
Thus, the renewable volume obligations combined with the Waiver Credits can operate as a floor to make the economics work better for producers of the cellulosic biofuels during Short Years.1 At the same time, producers cannot charge exorbitant prices to obligated parties because the foregoing pricing structure will operate as a cap on the amount that obligated parties would be willing to pay for a gallon of cellulosic biofuel. Indeed, without the Waiver Credits obligated parties would be in a very bad negotiating position relative to producers of cellulosic biofuels during Short Years because there would be very little supply available to allow obligated parties to meet the renewable volume obligations under RFS2. In years other than Short Years, presumably market forces will dictate the price of cellulosic biofuels.
1. For the purposes of the foregoing analysis, I have ignored the fact that obligated parties may have to incur capital and increased operational expenditures to deal with the storage, blending and transportation of cellulosic biofuels for simplicity. Capital and operational expenditures to deal with these issues could affect the price that an obligated party is willing to pay for cellulosic biofuels.
</t>
        </r>
      </text>
    </comment>
    <comment ref="O24" authorId="1">
      <text>
        <r>
          <rPr>
            <b/>
            <sz val="9"/>
            <color indexed="81"/>
            <rFont val="Tahoma"/>
            <family val="2"/>
          </rPr>
          <t>S Mongeau:</t>
        </r>
        <r>
          <rPr>
            <sz val="9"/>
            <color indexed="81"/>
            <rFont val="Tahoma"/>
            <family val="2"/>
          </rPr>
          <t xml:space="preserve">
Cellulosic Biofuel Waiver Credits: Part I 
Posted on March 31, 2010 by Alan Bickerstaff 
On February 3, 2010, the U.S. EPA finalized its long-awaited amendments to the National Renewable Fuel Standard program (“RFS2”), which increased mandated quotas of ethanol, biodiesel and other biofuels in the U.S. transportation fuel supply. The National Renewable Fuel Standard program was originally created in the 2005 federal energy bill and substantially modified by the Energy Independence and Security Act of 2007 (“EISA”). The RFS2 program sets quotas for biofuels in U.S. fuel supply starting at 12.95 billion gallons in 2010 with an ultimate goal of 36 billion gallons of renewable fuel by 2022. The rule includes nested sub-quotas for advanced biofuels, cellulosic biofuels and biomass-based diesel, with the goal for cellulosic fuels at 21 billion gallons by 2022. The policy goals of the RFS2 include energy independence through displacing imported petroleum and increased domestic energy supplies. 
Over the next few months, we will explore various provisions relating to cellulosic biofuels under RFS2. This post will begin to describe the credits the EPA has named “Cellulosic Biofuel Waiver Credits” (“Waiver Credits”) that will be issued to obligated parties under the circumstances described below.
EISA requires the EPA to set the cellulosic biofuel standard for each calendar year based on the lesser of (i) the volume specified in EISA or (ii) the projected volume of biofuel production based on estimates for that year. Under the final rule, the EPA has determined that projected volume for cellulosic biofuels production for 2010 would be 6.5 million gallons, well below the 100 million gallon mandate in EISA and the EPA’s proposed rule issued in May 2009. When the project volume is less than the mandate required by EISA (“Short Years”), the EPA is required to make Waiver Credits available for sale to obligated parties in order to allow obligated parties to meet their renewable volume obligations under EISA.
EISA requires the price of Waiver Credits to be an inflation-adjusted price that is the higher of (i) $0.25 per gallon or (ii) the amount by which $3.00 per gallon exceeds the average wholesale price of a gallon of gasoline in the Unites States. Based on this formula, EPA stated it will make available these Waiver Credits available for a price of $1.58 per gallon-RIN for compliance year 2010. Generally speaking, this means that an obligated party should be indifferent between buying a gallon of gasoline plus a Waiver Credit versus buying a gallon of cellulosic biofuel for a price equal to or less than the price of the gallon of gasoline plus the cost of the Waiver Credit. For example, if a gallon of gasoline costs $1.50 in 2010, an obligated party would pay $3.08 ($1.50 + $1.58) to sell a gallon of fuel and comply with its renewable volume obligation. Alternatively, the obligated party could buy a gallon of cellulosic biofuel for some price equal to or less than $3.08 (most likely a cellulosic biofuels producer would offer a discount to make the decision easy for the obligated party).
Thus, the renewable volume obligations combined with the Waiver Credits can operate as a floor to make the economics work better for producers of the cellulosic biofuels during Short Years.1 At the same time, producers cannot charge exorbitant prices to obligated parties because the foregoing pricing structure will operate as a cap on the amount that obligated parties would be willing to pay for a gallon of cellulosic biofuel. Indeed, without the Waiver Credits obligated parties would be in a very bad negotiating position relative to producers of cellulosic biofuels during Short Years because there would be very little supply available to allow obligated parties to meet the renewable volume obligations under RFS2. In years other than Short Years, presumably market forces will dictate the price of cellulosic biofuels.
1. For the purposes of the foregoing analysis, I have ignored the fact that obligated parties may have to incur capital and increased operational expenditures to deal with the storage, blending and transportation of cellulosic biofuels for simplicity. Capital and operational expenditures to deal with these issues could affect the price that an obligated party is willing to pay for cellulosic biofuels.
</t>
        </r>
      </text>
    </comment>
    <comment ref="B25" authorId="1">
      <text>
        <r>
          <rPr>
            <b/>
            <sz val="9"/>
            <color indexed="81"/>
            <rFont val="Tahoma"/>
            <family val="2"/>
          </rPr>
          <t>S Mongeau:</t>
        </r>
        <r>
          <rPr>
            <sz val="9"/>
            <color indexed="81"/>
            <rFont val="Tahoma"/>
            <family val="2"/>
          </rPr>
          <t xml:space="preserve">
If $3.00 - GAS PRICE &gt; $0.25, then use differential, otherwise if $3.00 - GAS PRICE &gt;= $0.25, waiver defaults to $0.25.  Thus, it is possible to achieve CEtOH prices of above $3.00 when gas price rises above $2.76.  I.E.: Gas Price $3.75 would equal $0.25 waiver, or $4.00.</t>
        </r>
      </text>
    </comment>
    <comment ref="C26" authorId="0">
      <text>
        <r>
          <rPr>
            <b/>
            <sz val="9"/>
            <color indexed="81"/>
            <rFont val="Tahoma"/>
            <family val="2"/>
          </rPr>
          <t xml:space="preserve">S Mongeau:
</t>
        </r>
        <r>
          <rPr>
            <sz val="9"/>
            <color indexed="81"/>
            <rFont val="Tahoma"/>
            <family val="2"/>
          </rPr>
          <t xml:space="preserve">Starting price based on 2010 average (Jan - end Oct)
</t>
        </r>
      </text>
    </comment>
    <comment ref="C32" authorId="0">
      <text>
        <r>
          <rPr>
            <b/>
            <sz val="9"/>
            <color indexed="81"/>
            <rFont val="Tahoma"/>
            <family val="2"/>
          </rPr>
          <t xml:space="preserve">S Mongeau:
</t>
        </r>
        <r>
          <rPr>
            <sz val="9"/>
            <color indexed="81"/>
            <rFont val="Tahoma"/>
            <family val="2"/>
          </rPr>
          <t>Starting price based on 2010 average (Jan - end Oct)</t>
        </r>
      </text>
    </comment>
    <comment ref="B39" authorId="1">
      <text>
        <r>
          <rPr>
            <b/>
            <sz val="9"/>
            <color indexed="81"/>
            <rFont val="Tahoma"/>
            <family val="2"/>
          </rPr>
          <t>S Mongeau:</t>
        </r>
        <r>
          <rPr>
            <sz val="9"/>
            <color indexed="81"/>
            <rFont val="Tahoma"/>
            <family val="2"/>
          </rPr>
          <t xml:space="preserve">
Month end Oct 2010 price used</t>
        </r>
      </text>
    </comment>
    <comment ref="C43" authorId="0">
      <text>
        <r>
          <rPr>
            <b/>
            <sz val="9"/>
            <color indexed="81"/>
            <rFont val="Tahoma"/>
            <family val="2"/>
          </rPr>
          <t xml:space="preserve">S Mongeau:
</t>
        </r>
        <r>
          <rPr>
            <sz val="9"/>
            <color indexed="81"/>
            <rFont val="Tahoma"/>
            <family val="2"/>
          </rPr>
          <t>Starting price based on 2010 average (Jan - end Oct)</t>
        </r>
      </text>
    </comment>
  </commentList>
</comments>
</file>

<file path=xl/sharedStrings.xml><?xml version="1.0" encoding="utf-8"?>
<sst xmlns="http://schemas.openxmlformats.org/spreadsheetml/2006/main" count="224" uniqueCount="117">
  <si>
    <t>Total</t>
  </si>
  <si>
    <t>Corn</t>
  </si>
  <si>
    <t>DDG</t>
  </si>
  <si>
    <t>BIOETHANOL PLANT: COMMODITY PRICE PROJECTIONS</t>
  </si>
  <si>
    <t>EtOH</t>
  </si>
  <si>
    <t>Price Projection Basis =</t>
  </si>
  <si>
    <t>Annual</t>
  </si>
  <si>
    <t>* Refreshed annual ave EtOH price based on yearly lognormal distribution tied to 2010 Iowa EtOH annualized SD (2006 - 2010 weekly price data)</t>
  </si>
  <si>
    <t>Successive</t>
  </si>
  <si>
    <t>* Successive (cumulative) annual ave EtOH price based on cumulative lognormal distribution tied to simulated (projected) Iowa EtOH annualized SD (2006 - 2010 weekly price data)</t>
  </si>
  <si>
    <t>* ANNUAL = each year targetted at 2010 average or latest price, based on annualized 4 year (2006 - 2010) SD</t>
  </si>
  <si>
    <t>* SUCCESSIVE = each successive year targetted at previous year's projected average price, based on annualized (2006 - 2010) SD</t>
  </si>
  <si>
    <t xml:space="preserve">(Annual projections over long-term are more conservative (as base price pegged to static 2010 price), wheras Successive prices ' wander' up and down to high and low scenarioes in simulation </t>
  </si>
  <si>
    <t>Agricultural Marketing Resource Center</t>
  </si>
  <si>
    <t>Weekly Ethanol, Distillers Grain, &amp; Corn Prices* (4 year period: 10/06 - 10/10)</t>
  </si>
  <si>
    <t>Weekly Dates</t>
  </si>
  <si>
    <t>Date</t>
  </si>
  <si>
    <t>EtOH ($/gal)</t>
  </si>
  <si>
    <t>Yellow Corn ($/bu)</t>
  </si>
  <si>
    <t>DDG 10% ($/ton)</t>
  </si>
  <si>
    <t>Gas (Regular US Retail $/gal)</t>
  </si>
  <si>
    <t>Oil (Regular US Retail $/gal)</t>
  </si>
  <si>
    <t>Iowa (wk)</t>
  </si>
  <si>
    <t>Wk Vol</t>
  </si>
  <si>
    <t>Annual SD (Vol)</t>
  </si>
  <si>
    <t>2010 Average</t>
  </si>
  <si>
    <t>2006-10 Average</t>
  </si>
  <si>
    <t>DISTRIBUTION FITS</t>
  </si>
  <si>
    <t>2006 Ave</t>
  </si>
  <si>
    <t>2007 Ave</t>
  </si>
  <si>
    <t>2008 Ave</t>
  </si>
  <si>
    <t>2009 Ave</t>
  </si>
  <si>
    <t>2010 Ave</t>
  </si>
  <si>
    <t>Source: USDA Market News, State Ethanol Plant Reports</t>
  </si>
  <si>
    <t>*Data is updated on a monthly basis to reflect the historical trends in the market.</t>
  </si>
  <si>
    <t>http://www.agmrc.org/renewable_energy/ethanol/ethanol__prices_trends_and_markets.cfm</t>
  </si>
  <si>
    <t>Gas Prices:</t>
  </si>
  <si>
    <t>http://www.eia.doe.gov/petroleum/data_publications/wrgp/mogas_history.html</t>
  </si>
  <si>
    <t>Oil Prices:</t>
  </si>
  <si>
    <t xml:space="preserve">http://www.eia.gov/dnav/pet/hist/LeafHandler.ashx?n=PET&amp;s=WTOTUSA&amp;f=W </t>
  </si>
  <si>
    <t>File updated:</t>
  </si>
  <si>
    <t xml:space="preserve">date </t>
  </si>
  <si>
    <t>etoh</t>
  </si>
  <si>
    <t>corn</t>
  </si>
  <si>
    <t>ddg</t>
  </si>
  <si>
    <t>gas</t>
  </si>
  <si>
    <t>oil</t>
  </si>
  <si>
    <t>CORRELATION MATRIX: RELATIVE ∆ CORRELATION (2006 - 10)</t>
  </si>
  <si>
    <t>Gas</t>
  </si>
  <si>
    <t>Oil</t>
  </si>
  <si>
    <t>Ave Cor</t>
  </si>
  <si>
    <t>CORRELATION MATRIX: RELATIVE ∆ CORRELATION (2007)</t>
  </si>
  <si>
    <t>CORRELATION MATRIX: RELATIVE ∆ CORRELATION (2008)</t>
  </si>
  <si>
    <t>CORRELATION MATRIX: RELATIVE ∆ CORRELATION (2009)</t>
  </si>
  <si>
    <t>CORRELATION MATRIX: RELATIVE ∆ CORRELATION (2010)</t>
  </si>
  <si>
    <t>* Based on CORREL function, ie:  CORREL(x:x, y:y)</t>
  </si>
  <si>
    <t>* 2010 correlation used as it is hypothesized that above commodities shall evidence tighter correlation in future</t>
  </si>
  <si>
    <t>ETOH as Dependent (Y) forecast target</t>
  </si>
  <si>
    <t>SUMMARY OUTPUT</t>
  </si>
  <si>
    <t>Regression Statistics</t>
  </si>
  <si>
    <t>Multiple R</t>
  </si>
  <si>
    <t>R Square</t>
  </si>
  <si>
    <t>Adjusted R Square</t>
  </si>
  <si>
    <t>Standard Error</t>
  </si>
  <si>
    <t>Observations</t>
  </si>
  <si>
    <t>ANOVA</t>
  </si>
  <si>
    <t>df</t>
  </si>
  <si>
    <t>SS</t>
  </si>
  <si>
    <t>MS</t>
  </si>
  <si>
    <t>F</t>
  </si>
  <si>
    <t>Significance F</t>
  </si>
  <si>
    <t>Regression</t>
  </si>
  <si>
    <t>Residual</t>
  </si>
  <si>
    <t>Coefficients</t>
  </si>
  <si>
    <t>t Stat</t>
  </si>
  <si>
    <t>P-value</t>
  </si>
  <si>
    <t>Lower 95%</t>
  </si>
  <si>
    <t>Upper 95%</t>
  </si>
  <si>
    <t>Lower 95.0%</t>
  </si>
  <si>
    <t>Upper 95.0%</t>
  </si>
  <si>
    <t>Intercept</t>
  </si>
  <si>
    <t>X Variable 1</t>
  </si>
  <si>
    <t>X Variable 2</t>
  </si>
  <si>
    <t>X Variable 3</t>
  </si>
  <si>
    <t>X Variable 4</t>
  </si>
  <si>
    <t>X Variable 1 = corn</t>
  </si>
  <si>
    <t>X Variable 2 = ddg</t>
  </si>
  <si>
    <t>X Variable 3 = gas</t>
  </si>
  <si>
    <t xml:space="preserve"> </t>
  </si>
  <si>
    <t>X Variable 4 = oil</t>
  </si>
  <si>
    <t>Conclusion: DDG price has tighest correlation to EtOH price</t>
  </si>
  <si>
    <t>Dataset Real</t>
  </si>
  <si>
    <t>* Note: Based on weekly price variation (needs to be annualize over larger data set)</t>
  </si>
  <si>
    <t>Dataset Absolute</t>
  </si>
  <si>
    <t>Static</t>
  </si>
  <si>
    <t>Custom</t>
  </si>
  <si>
    <t>* Refreshed annual ave price based on yearly lognormal distribution tied to 2010 Iowa annualized SD (2006 - 2010 weekly price data)</t>
  </si>
  <si>
    <t>* Successive (cumulative) annual ave retail gas price based on cumulative lognormal distribution tied to annualized US retail gas price (2006 - 2010 weekly price data)</t>
  </si>
  <si>
    <t>Waiver Basis</t>
  </si>
  <si>
    <t>* Greater of ($3 - Gas Price) or $0.25</t>
  </si>
  <si>
    <t>Waiver Credit</t>
  </si>
  <si>
    <t>* Successive (cumulative) annual ave price based on cumulative lognormal distribution tied to annualized price (2006 - 2010 weekly price data)</t>
  </si>
  <si>
    <t>* Successive (cumulative) annual ave corn price based on cumulative lognormal distribution tied to Iowa Corn annualized SD (2006 - 2010 weekly price data)</t>
  </si>
  <si>
    <t>Feedstock -Biomass Custom</t>
  </si>
  <si>
    <t>(draft - not active)</t>
  </si>
  <si>
    <t>Biomass - Generic ($10/ton)</t>
  </si>
  <si>
    <t>Biomass - Corn Strover ($15/ton)</t>
  </si>
  <si>
    <t>SAMPLE VIEW:  FEEDSTOCK PRICES - Annual versus Successive Projections</t>
  </si>
  <si>
    <t>Standard Deviation</t>
  </si>
  <si>
    <t>Annual SD</t>
  </si>
  <si>
    <t>Successive SD</t>
  </si>
  <si>
    <t>Succ Corr SD</t>
  </si>
  <si>
    <t>Iowa (yr)</t>
  </si>
  <si>
    <t>Yellow Corn ($/bu) ANNUAL</t>
  </si>
  <si>
    <t>Delta</t>
  </si>
  <si>
    <t>Ave</t>
  </si>
  <si>
    <t>SD</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</si>
</sst>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6" formatCode="&quot;$&quot;#,##0_);[Red]\(&quot;$&quot;#,##0\)"/>
    <numFmt numFmtId="8" formatCode="&quot;$&quot;#,##0.00_);[Red]\(&quot;$&quot;#,##0.00\)"/>
    <numFmt numFmtId="44" formatCode="_(&quot;$&quot;* #,##0.00_);_(&quot;$&quot;* \(#,##0.00\);_(&quot;$&quot;* &quot;-&quot;??_);_(@_)"/>
    <numFmt numFmtId="43" formatCode="_(* #,##0.00_);_(* \(#,##0.00\);_(* &quot;-&quot;??_);_(@_)"/>
    <numFmt numFmtId="164" formatCode="0.000"/>
    <numFmt numFmtId="165" formatCode="[$-409]d\-mmm\-yy;@"/>
    <numFmt numFmtId="166" formatCode="#,##0.000_);[Red]\(#,##0.000\)"/>
    <numFmt numFmtId="167" formatCode="d\-mm\-yy;@"/>
    <numFmt numFmtId="168" formatCode="_-* #,##0.00_-;_-* #,##0.00\-;_-* &quot;-&quot;??_-;_-@_-"/>
  </numFmts>
  <fonts count="37" x14ac:knownFonts="1">
    <font>
      <sz val="10"/>
      <name val="Arial"/>
    </font>
    <font>
      <sz val="11"/>
      <color theme="1"/>
      <name val="Calibri"/>
      <family val="2"/>
      <scheme val="minor"/>
    </font>
    <font>
      <sz val="11"/>
      <color theme="1"/>
      <name val="Calibri"/>
      <family val="2"/>
      <scheme val="minor"/>
    </font>
    <font>
      <sz val="11"/>
      <color indexed="8"/>
      <name val="Calibri"/>
      <family val="2"/>
    </font>
    <font>
      <sz val="10"/>
      <name val="Arial"/>
      <family val="2"/>
    </font>
    <font>
      <b/>
      <sz val="10"/>
      <name val="Arial"/>
      <family val="2"/>
    </font>
    <font>
      <sz val="10"/>
      <name val="Arial"/>
      <family val="2"/>
    </font>
    <font>
      <u/>
      <sz val="10"/>
      <color indexed="12"/>
      <name val="Arial"/>
      <family val="2"/>
    </font>
    <font>
      <b/>
      <sz val="9"/>
      <color indexed="81"/>
      <name val="Tahoma"/>
      <family val="2"/>
    </font>
    <font>
      <sz val="9"/>
      <color indexed="81"/>
      <name val="Tahoma"/>
      <family val="2"/>
    </font>
    <font>
      <sz val="10"/>
      <name val="Arial"/>
      <family val="2"/>
    </font>
    <font>
      <b/>
      <sz val="11"/>
      <color indexed="8"/>
      <name val="Calibri"/>
      <family val="2"/>
    </font>
    <font>
      <i/>
      <sz val="11"/>
      <color indexed="8"/>
      <name val="Calibri"/>
      <family val="2"/>
    </font>
    <font>
      <b/>
      <sz val="11"/>
      <color indexed="62"/>
      <name val="Calibri"/>
      <family val="2"/>
    </font>
    <font>
      <b/>
      <u/>
      <sz val="11"/>
      <color indexed="8"/>
      <name val="Calibri"/>
      <family val="2"/>
    </font>
    <font>
      <b/>
      <sz val="13"/>
      <color indexed="63"/>
      <name val="Calibri"/>
      <family val="2"/>
    </font>
    <font>
      <sz val="10"/>
      <color indexed="8"/>
      <name val="Arial"/>
      <family val="2"/>
    </font>
    <font>
      <b/>
      <sz val="8"/>
      <name val="Arial"/>
      <family val="2"/>
    </font>
    <font>
      <sz val="8"/>
      <name val="Arial"/>
      <family val="2"/>
    </font>
    <font>
      <sz val="11"/>
      <color theme="1"/>
      <name val="Calibri"/>
      <family val="2"/>
      <scheme val="minor"/>
    </font>
    <font>
      <sz val="11"/>
      <color theme="0"/>
      <name val="Calibri"/>
      <family val="2"/>
      <scheme val="minor"/>
    </font>
    <font>
      <b/>
      <sz val="11"/>
      <color rgb="FFFA7D00"/>
      <name val="Calibri"/>
      <family val="2"/>
      <scheme val="minor"/>
    </font>
    <font>
      <b/>
      <sz val="11"/>
      <color theme="0"/>
      <name val="Calibri"/>
      <family val="2"/>
      <scheme val="minor"/>
    </font>
    <font>
      <sz val="11"/>
      <color rgb="FF3F3F76"/>
      <name val="Calibri"/>
      <family val="2"/>
      <scheme val="minor"/>
    </font>
    <font>
      <b/>
      <sz val="11"/>
      <color rgb="FF3F3F3F"/>
      <name val="Calibri"/>
      <family val="2"/>
      <scheme val="minor"/>
    </font>
    <font>
      <b/>
      <sz val="8"/>
      <color rgb="FF3F3F3F"/>
      <name val="Arial"/>
      <family val="2"/>
    </font>
    <font>
      <b/>
      <sz val="8"/>
      <color theme="1"/>
      <name val="Arial"/>
      <family val="2"/>
    </font>
    <font>
      <sz val="10"/>
      <name val="Arial"/>
      <family val="2"/>
    </font>
    <font>
      <b/>
      <sz val="11"/>
      <color theme="1"/>
      <name val="Calibri"/>
      <family val="2"/>
      <scheme val="minor"/>
    </font>
    <font>
      <b/>
      <sz val="13"/>
      <color theme="0"/>
      <name val="Calibri"/>
      <family val="2"/>
      <scheme val="minor"/>
    </font>
    <font>
      <sz val="11"/>
      <color theme="0" tint="-0.499984740745262"/>
      <name val="Calibri"/>
      <family val="2"/>
      <scheme val="minor"/>
    </font>
    <font>
      <b/>
      <sz val="11"/>
      <color theme="0" tint="-0.499984740745262"/>
      <name val="Calibri"/>
      <family val="2"/>
      <scheme val="minor"/>
    </font>
    <font>
      <b/>
      <sz val="11"/>
      <color rgb="FF3F3F76"/>
      <name val="Calibri"/>
      <family val="2"/>
      <scheme val="minor"/>
    </font>
    <font>
      <sz val="11"/>
      <color theme="1" tint="0.499984740745262"/>
      <name val="Calibri"/>
      <family val="2"/>
      <scheme val="minor"/>
    </font>
    <font>
      <i/>
      <sz val="11"/>
      <color theme="1" tint="0.499984740745262"/>
      <name val="Calibri"/>
      <family val="2"/>
      <scheme val="minor"/>
    </font>
    <font>
      <b/>
      <u/>
      <sz val="9"/>
      <color indexed="81"/>
      <name val="Tahoma"/>
      <family val="2"/>
    </font>
    <font>
      <u/>
      <sz val="11"/>
      <color theme="10"/>
      <name val="Calibri"/>
      <family val="2"/>
      <scheme val="minor"/>
    </font>
  </fonts>
  <fills count="14">
    <fill>
      <patternFill patternType="none"/>
    </fill>
    <fill>
      <patternFill patternType="gray125"/>
    </fill>
    <fill>
      <patternFill patternType="solid">
        <fgColor indexed="26"/>
        <bgColor indexed="64"/>
      </patternFill>
    </fill>
    <fill>
      <patternFill patternType="solid">
        <fgColor indexed="43"/>
        <bgColor indexed="64"/>
      </patternFill>
    </fill>
    <fill>
      <patternFill patternType="solid">
        <fgColor theme="4"/>
      </patternFill>
    </fill>
    <fill>
      <patternFill patternType="solid">
        <fgColor rgb="FFF2F2F2"/>
      </patternFill>
    </fill>
    <fill>
      <patternFill patternType="solid">
        <fgColor rgb="FFA5A5A5"/>
      </patternFill>
    </fill>
    <fill>
      <patternFill patternType="solid">
        <fgColor rgb="FFFFCC99"/>
      </patternFill>
    </fill>
    <fill>
      <patternFill patternType="solid">
        <fgColor rgb="FFFFFFCC"/>
      </patternFill>
    </fill>
    <fill>
      <patternFill patternType="solid">
        <fgColor rgb="FFFFC000"/>
        <bgColor indexed="64"/>
      </patternFill>
    </fill>
    <fill>
      <patternFill patternType="solid">
        <fgColor rgb="FFFFFFCC"/>
        <bgColor indexed="64"/>
      </patternFill>
    </fill>
    <fill>
      <patternFill patternType="solid">
        <fgColor rgb="FFFFFF66"/>
        <bgColor indexed="64"/>
      </patternFill>
    </fill>
    <fill>
      <patternFill patternType="solid">
        <fgColor theme="0" tint="-0.249977111117893"/>
        <bgColor indexed="64"/>
      </patternFill>
    </fill>
    <fill>
      <patternFill patternType="solid">
        <fgColor rgb="FFFFFF00"/>
        <bgColor indexed="64"/>
      </patternFill>
    </fill>
  </fills>
  <borders count="123">
    <border>
      <left/>
      <right/>
      <top/>
      <bottom/>
      <diagonal/>
    </border>
    <border>
      <left style="medium">
        <color indexed="64"/>
      </left>
      <right style="medium">
        <color indexed="64"/>
      </right>
      <top style="medium">
        <color indexed="64"/>
      </top>
      <bottom style="medium">
        <color indexed="64"/>
      </bottom>
      <diagonal/>
    </border>
    <border>
      <left style="thick">
        <color indexed="64"/>
      </left>
      <right/>
      <top/>
      <bottom/>
      <diagonal/>
    </border>
    <border>
      <left style="medium">
        <color indexed="64"/>
      </left>
      <right/>
      <top style="medium">
        <color indexed="64"/>
      </top>
      <bottom/>
      <diagonal/>
    </border>
    <border>
      <left style="medium">
        <color indexed="63"/>
      </left>
      <right/>
      <top/>
      <bottom/>
      <diagonal/>
    </border>
    <border>
      <left/>
      <right/>
      <top style="dashed">
        <color indexed="64"/>
      </top>
      <bottom/>
      <diagonal/>
    </border>
    <border>
      <left style="thin">
        <color indexed="63"/>
      </left>
      <right/>
      <top style="thin">
        <color indexed="63"/>
      </top>
      <bottom style="thin">
        <color indexed="63"/>
      </bottom>
      <diagonal/>
    </border>
    <border>
      <left style="medium">
        <color indexed="63"/>
      </left>
      <right style="thin">
        <color indexed="63"/>
      </right>
      <top style="thin">
        <color indexed="63"/>
      </top>
      <bottom style="thin">
        <color indexed="63"/>
      </bottom>
      <diagonal/>
    </border>
    <border>
      <left style="medium">
        <color indexed="63"/>
      </left>
      <right style="thin">
        <color indexed="63"/>
      </right>
      <top style="double">
        <color indexed="63"/>
      </top>
      <bottom style="thin">
        <color indexed="63"/>
      </bottom>
      <diagonal/>
    </border>
    <border>
      <left style="thin">
        <color indexed="63"/>
      </left>
      <right style="medium">
        <color indexed="63"/>
      </right>
      <top style="double">
        <color indexed="63"/>
      </top>
      <bottom style="thin">
        <color indexed="63"/>
      </bottom>
      <diagonal/>
    </border>
    <border>
      <left style="thin">
        <color indexed="63"/>
      </left>
      <right/>
      <top style="thin">
        <color indexed="63"/>
      </top>
      <bottom style="medium">
        <color indexed="63"/>
      </bottom>
      <diagonal/>
    </border>
    <border>
      <left style="medium">
        <color indexed="63"/>
      </left>
      <right style="thin">
        <color indexed="63"/>
      </right>
      <top style="thin">
        <color indexed="63"/>
      </top>
      <bottom style="medium">
        <color indexed="63"/>
      </bottom>
      <diagonal/>
    </border>
    <border>
      <left style="thin">
        <color indexed="63"/>
      </left>
      <right style="thin">
        <color indexed="63"/>
      </right>
      <top style="thin">
        <color indexed="63"/>
      </top>
      <bottom style="medium">
        <color indexed="63"/>
      </bottom>
      <diagonal/>
    </border>
    <border>
      <left style="thin">
        <color indexed="63"/>
      </left>
      <right style="medium">
        <color indexed="63"/>
      </right>
      <top style="thin">
        <color indexed="63"/>
      </top>
      <bottom style="medium">
        <color indexed="63"/>
      </bottom>
      <diagonal/>
    </border>
    <border>
      <left style="medium">
        <color indexed="64"/>
      </left>
      <right/>
      <top/>
      <bottom/>
      <diagonal/>
    </border>
    <border>
      <left style="thin">
        <color indexed="64"/>
      </left>
      <right/>
      <top/>
      <bottom/>
      <diagonal/>
    </border>
    <border>
      <left/>
      <right style="medium">
        <color indexed="63"/>
      </right>
      <top/>
      <bottom/>
      <diagonal/>
    </border>
    <border>
      <left style="medium">
        <color indexed="8"/>
      </left>
      <right style="thin">
        <color indexed="23"/>
      </right>
      <top style="thin">
        <color indexed="23"/>
      </top>
      <bottom style="medium">
        <color indexed="63"/>
      </bottom>
      <diagonal/>
    </border>
    <border>
      <left style="medium">
        <color indexed="63"/>
      </left>
      <right style="thin">
        <color indexed="63"/>
      </right>
      <top style="medium">
        <color indexed="63"/>
      </top>
      <bottom style="thin">
        <color indexed="63"/>
      </bottom>
      <diagonal/>
    </border>
    <border>
      <left style="thin">
        <color indexed="63"/>
      </left>
      <right style="thin">
        <color indexed="63"/>
      </right>
      <top style="medium">
        <color indexed="63"/>
      </top>
      <bottom style="thin">
        <color indexed="63"/>
      </bottom>
      <diagonal/>
    </border>
    <border>
      <left style="thin">
        <color indexed="63"/>
      </left>
      <right style="medium">
        <color indexed="63"/>
      </right>
      <top style="medium">
        <color indexed="63"/>
      </top>
      <bottom style="thin">
        <color indexed="63"/>
      </bottom>
      <diagonal/>
    </border>
    <border>
      <left/>
      <right style="thin">
        <color indexed="63"/>
      </right>
      <top style="medium">
        <color indexed="63"/>
      </top>
      <bottom style="thin">
        <color indexed="63"/>
      </bottom>
      <diagonal/>
    </border>
    <border>
      <left style="thin">
        <color indexed="63"/>
      </left>
      <right/>
      <top style="medium">
        <color indexed="63"/>
      </top>
      <bottom style="thin">
        <color indexed="63"/>
      </bottom>
      <diagonal/>
    </border>
    <border>
      <left/>
      <right style="thin">
        <color indexed="63"/>
      </right>
      <top style="thin">
        <color indexed="63"/>
      </top>
      <bottom style="medium">
        <color indexed="63"/>
      </bottom>
      <diagonal/>
    </border>
    <border>
      <left style="thin">
        <color indexed="63"/>
      </left>
      <right/>
      <top style="thin">
        <color indexed="63"/>
      </top>
      <bottom/>
      <diagonal/>
    </border>
    <border>
      <left style="medium">
        <color indexed="63"/>
      </left>
      <right style="thin">
        <color indexed="63"/>
      </right>
      <top style="thin">
        <color indexed="63"/>
      </top>
      <bottom/>
      <diagonal/>
    </border>
    <border>
      <left style="thin">
        <color indexed="63"/>
      </left>
      <right style="thin">
        <color indexed="63"/>
      </right>
      <top style="thin">
        <color indexed="63"/>
      </top>
      <bottom/>
      <diagonal/>
    </border>
    <border>
      <left style="thin">
        <color indexed="63"/>
      </left>
      <right style="medium">
        <color indexed="63"/>
      </right>
      <top style="thin">
        <color indexed="63"/>
      </top>
      <bottom/>
      <diagonal/>
    </border>
    <border>
      <left/>
      <right style="thin">
        <color indexed="63"/>
      </right>
      <top style="thin">
        <color indexed="63"/>
      </top>
      <bottom/>
      <diagonal/>
    </border>
    <border>
      <left style="thin">
        <color indexed="63"/>
      </left>
      <right/>
      <top style="thick">
        <color indexed="63"/>
      </top>
      <bottom style="thin">
        <color indexed="63"/>
      </bottom>
      <diagonal/>
    </border>
    <border>
      <left style="medium">
        <color indexed="63"/>
      </left>
      <right style="thin">
        <color indexed="63"/>
      </right>
      <top style="thick">
        <color indexed="63"/>
      </top>
      <bottom style="medium">
        <color indexed="63"/>
      </bottom>
      <diagonal/>
    </border>
    <border>
      <left style="thin">
        <color indexed="63"/>
      </left>
      <right style="thin">
        <color indexed="63"/>
      </right>
      <top style="thick">
        <color indexed="63"/>
      </top>
      <bottom style="medium">
        <color indexed="63"/>
      </bottom>
      <diagonal/>
    </border>
    <border>
      <left style="thin">
        <color indexed="63"/>
      </left>
      <right style="medium">
        <color indexed="63"/>
      </right>
      <top style="thick">
        <color indexed="63"/>
      </top>
      <bottom style="medium">
        <color indexed="63"/>
      </bottom>
      <diagonal/>
    </border>
    <border>
      <left/>
      <right style="thin">
        <color indexed="63"/>
      </right>
      <top style="thick">
        <color indexed="63"/>
      </top>
      <bottom style="medium">
        <color indexed="63"/>
      </bottom>
      <diagonal/>
    </border>
    <border>
      <left style="thin">
        <color indexed="63"/>
      </left>
      <right/>
      <top style="thick">
        <color indexed="63"/>
      </top>
      <bottom style="medium">
        <color indexed="63"/>
      </bottom>
      <diagonal/>
    </border>
    <border>
      <left style="medium">
        <color indexed="64"/>
      </left>
      <right style="double">
        <color indexed="63"/>
      </right>
      <top style="medium">
        <color indexed="64"/>
      </top>
      <bottom/>
      <diagonal/>
    </border>
    <border>
      <left style="double">
        <color indexed="63"/>
      </left>
      <right style="double">
        <color indexed="63"/>
      </right>
      <top style="medium">
        <color indexed="64"/>
      </top>
      <bottom/>
      <diagonal/>
    </border>
    <border>
      <left style="double">
        <color indexed="63"/>
      </left>
      <right style="medium">
        <color indexed="64"/>
      </right>
      <top style="medium">
        <color indexed="64"/>
      </top>
      <bottom/>
      <diagonal/>
    </border>
    <border>
      <left style="medium">
        <color indexed="64"/>
      </left>
      <right style="thin">
        <color indexed="63"/>
      </right>
      <top style="medium">
        <color indexed="64"/>
      </top>
      <bottom/>
      <diagonal/>
    </border>
    <border>
      <left style="thin">
        <color indexed="63"/>
      </left>
      <right style="thin">
        <color indexed="63"/>
      </right>
      <top style="medium">
        <color indexed="64"/>
      </top>
      <bottom/>
      <diagonal/>
    </border>
    <border>
      <left style="thin">
        <color indexed="63"/>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3"/>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3"/>
      </top>
      <bottom style="thin">
        <color indexed="63"/>
      </bottom>
      <diagonal/>
    </border>
    <border>
      <left style="medium">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medium">
        <color indexed="64"/>
      </right>
      <top style="thin">
        <color indexed="64"/>
      </top>
      <bottom/>
      <diagonal/>
    </border>
    <border>
      <left style="medium">
        <color indexed="64"/>
      </left>
      <right/>
      <top style="thin">
        <color indexed="63"/>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right/>
      <top style="thick">
        <color indexed="64"/>
      </top>
      <bottom/>
      <diagonal/>
    </border>
    <border>
      <left style="medium">
        <color indexed="64"/>
      </left>
      <right/>
      <top style="thin">
        <color indexed="63"/>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right/>
      <top/>
      <bottom style="medium">
        <color indexed="64"/>
      </bottom>
      <diagonal/>
    </border>
    <border>
      <left/>
      <right style="medium">
        <color indexed="64"/>
      </right>
      <top/>
      <bottom/>
      <diagonal/>
    </border>
    <border>
      <left style="medium">
        <color indexed="64"/>
      </left>
      <right style="medium">
        <color indexed="64"/>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medium">
        <color theme="1"/>
      </left>
      <right style="medium">
        <color theme="1"/>
      </right>
      <top style="medium">
        <color theme="1"/>
      </top>
      <bottom style="medium">
        <color theme="1"/>
      </bottom>
      <diagonal/>
    </border>
    <border>
      <left style="medium">
        <color rgb="FF3F3F3F"/>
      </left>
      <right style="medium">
        <color rgb="FF3F3F3F"/>
      </right>
      <top style="medium">
        <color rgb="FF3F3F3F"/>
      </top>
      <bottom style="medium">
        <color rgb="FF3F3F3F"/>
      </bottom>
      <diagonal/>
    </border>
    <border>
      <left style="double">
        <color rgb="FF3F3F3F"/>
      </left>
      <right style="medium">
        <color theme="1"/>
      </right>
      <top style="double">
        <color rgb="FF3F3F3F"/>
      </top>
      <bottom style="double">
        <color rgb="FF3F3F3F"/>
      </bottom>
      <diagonal/>
    </border>
    <border>
      <left/>
      <right style="medium">
        <color theme="1"/>
      </right>
      <top/>
      <bottom/>
      <diagonal/>
    </border>
    <border>
      <left style="double">
        <color rgb="FF3F3F3F"/>
      </left>
      <right/>
      <top style="double">
        <color rgb="FF3F3F3F"/>
      </top>
      <bottom/>
      <diagonal/>
    </border>
    <border>
      <left style="medium">
        <color rgb="FF3F3F3F"/>
      </left>
      <right style="double">
        <color rgb="FF3F3F3F"/>
      </right>
      <top style="double">
        <color rgb="FF3F3F3F"/>
      </top>
      <bottom/>
      <diagonal/>
    </border>
    <border>
      <left style="double">
        <color rgb="FF3F3F3F"/>
      </left>
      <right style="double">
        <color rgb="FF3F3F3F"/>
      </right>
      <top style="double">
        <color rgb="FF3F3F3F"/>
      </top>
      <bottom/>
      <diagonal/>
    </border>
    <border>
      <left style="double">
        <color rgb="FF3F3F3F"/>
      </left>
      <right style="medium">
        <color theme="1"/>
      </right>
      <top style="double">
        <color rgb="FF3F3F3F"/>
      </top>
      <bottom/>
      <diagonal/>
    </border>
    <border>
      <left style="double">
        <color rgb="FF3F3F3F"/>
      </left>
      <right/>
      <top style="double">
        <color rgb="FF3F3F3F"/>
      </top>
      <bottom style="double">
        <color rgb="FF3F3F3F"/>
      </bottom>
      <diagonal/>
    </border>
    <border>
      <left style="medium">
        <color rgb="FF3F3F3F"/>
      </left>
      <right/>
      <top style="medium">
        <color theme="1"/>
      </top>
      <bottom/>
      <diagonal/>
    </border>
    <border>
      <left style="medium">
        <color theme="1"/>
      </left>
      <right style="thin">
        <color rgb="FF3F3F3F"/>
      </right>
      <top style="medium">
        <color theme="1"/>
      </top>
      <bottom/>
      <diagonal/>
    </border>
    <border>
      <left style="thin">
        <color rgb="FF3F3F3F"/>
      </left>
      <right style="thin">
        <color rgb="FF3F3F3F"/>
      </right>
      <top style="medium">
        <color theme="1"/>
      </top>
      <bottom/>
      <diagonal/>
    </border>
    <border>
      <left style="medium">
        <color auto="1"/>
      </left>
      <right/>
      <top style="medium">
        <color auto="1"/>
      </top>
      <bottom style="medium">
        <color auto="1"/>
      </bottom>
      <diagonal/>
    </border>
    <border>
      <left style="medium">
        <color rgb="FF3F3F3F"/>
      </left>
      <right/>
      <top style="medium">
        <color auto="1"/>
      </top>
      <bottom style="medium">
        <color auto="1"/>
      </bottom>
      <diagonal/>
    </border>
    <border>
      <left style="medium">
        <color theme="1"/>
      </left>
      <right style="thin">
        <color rgb="FF3F3F3F"/>
      </right>
      <top style="thin">
        <color rgb="FF3F3F3F"/>
      </top>
      <bottom style="medium">
        <color auto="1"/>
      </bottom>
      <diagonal/>
    </border>
    <border>
      <left style="thin">
        <color rgb="FF3F3F3F"/>
      </left>
      <right style="thin">
        <color rgb="FF3F3F3F"/>
      </right>
      <top style="thin">
        <color rgb="FF3F3F3F"/>
      </top>
      <bottom style="medium">
        <color auto="1"/>
      </bottom>
      <diagonal/>
    </border>
    <border>
      <left style="medium">
        <color auto="1"/>
      </left>
      <right/>
      <top style="medium">
        <color auto="1"/>
      </top>
      <bottom/>
      <diagonal/>
    </border>
    <border>
      <left style="medium">
        <color rgb="FF3F3F3F"/>
      </left>
      <right/>
      <top style="medium">
        <color auto="1"/>
      </top>
      <bottom style="thin">
        <color rgb="FF3F3F3F"/>
      </bottom>
      <diagonal/>
    </border>
    <border>
      <left style="medium">
        <color theme="1"/>
      </left>
      <right/>
      <top style="medium">
        <color auto="1"/>
      </top>
      <bottom/>
      <diagonal/>
    </border>
    <border>
      <left/>
      <right/>
      <top style="medium">
        <color auto="1"/>
      </top>
      <bottom/>
      <diagonal/>
    </border>
    <border>
      <left style="thin">
        <color rgb="FF7F7F7F"/>
      </left>
      <right style="medium">
        <color theme="1"/>
      </right>
      <top style="medium">
        <color auto="1"/>
      </top>
      <bottom style="thin">
        <color rgb="FF7F7F7F"/>
      </bottom>
      <diagonal/>
    </border>
    <border>
      <left style="medium">
        <color auto="1"/>
      </left>
      <right/>
      <top/>
      <bottom/>
      <diagonal/>
    </border>
    <border>
      <left style="medium">
        <color rgb="FF3F3F3F"/>
      </left>
      <right/>
      <top/>
      <bottom/>
      <diagonal/>
    </border>
    <border>
      <left style="medium">
        <color theme="1"/>
      </left>
      <right/>
      <top/>
      <bottom/>
      <diagonal/>
    </border>
    <border>
      <left style="medium">
        <color auto="1"/>
      </left>
      <right/>
      <top style="dashed">
        <color auto="1"/>
      </top>
      <bottom/>
      <diagonal/>
    </border>
    <border>
      <left style="medium">
        <color rgb="FF3F3F3F"/>
      </left>
      <right/>
      <top style="dashed">
        <color auto="1"/>
      </top>
      <bottom style="thin">
        <color rgb="FF3F3F3F"/>
      </bottom>
      <diagonal/>
    </border>
    <border>
      <left style="medium">
        <color theme="1"/>
      </left>
      <right/>
      <top style="dashed">
        <color auto="1"/>
      </top>
      <bottom/>
      <diagonal/>
    </border>
    <border>
      <left style="thin">
        <color auto="1"/>
      </left>
      <right style="medium">
        <color theme="1"/>
      </right>
      <top style="dashed">
        <color auto="1"/>
      </top>
      <bottom style="thin">
        <color rgb="FF7F7F7F"/>
      </bottom>
      <diagonal/>
    </border>
    <border>
      <left/>
      <right/>
      <top/>
      <bottom style="dashed">
        <color auto="1"/>
      </bottom>
      <diagonal/>
    </border>
    <border>
      <left style="thin">
        <color rgb="FF7F7F7F"/>
      </left>
      <right style="medium">
        <color theme="1"/>
      </right>
      <top style="thin">
        <color rgb="FF7F7F7F"/>
      </top>
      <bottom style="thin">
        <color rgb="FF7F7F7F"/>
      </bottom>
      <diagonal/>
    </border>
    <border>
      <left/>
      <right style="medium">
        <color auto="1"/>
      </right>
      <top style="dashed">
        <color auto="1"/>
      </top>
      <bottom/>
      <diagonal/>
    </border>
    <border>
      <left style="medium">
        <color auto="1"/>
      </left>
      <right/>
      <top/>
      <bottom style="medium">
        <color auto="1"/>
      </bottom>
      <diagonal/>
    </border>
    <border>
      <left style="medium">
        <color rgb="FF3F3F3F"/>
      </left>
      <right/>
      <top/>
      <bottom style="medium">
        <color auto="1"/>
      </bottom>
      <diagonal/>
    </border>
    <border>
      <left style="medium">
        <color theme="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theme="1"/>
      </bottom>
      <diagonal/>
    </border>
    <border>
      <left style="medium">
        <color theme="1"/>
      </left>
      <right/>
      <top/>
      <bottom style="medium">
        <color theme="1"/>
      </bottom>
      <diagonal/>
    </border>
    <border>
      <left style="thin">
        <color rgb="FF3F3F3F"/>
      </left>
      <right style="medium">
        <color theme="1"/>
      </right>
      <top style="medium">
        <color theme="1"/>
      </top>
      <bottom/>
      <diagonal/>
    </border>
    <border>
      <left style="thin">
        <color rgb="FF3F3F3F"/>
      </left>
      <right style="medium">
        <color theme="1"/>
      </right>
      <top style="thin">
        <color rgb="FF3F3F3F"/>
      </top>
      <bottom style="medium">
        <color auto="1"/>
      </bottom>
      <diagonal/>
    </border>
    <border>
      <left style="thin">
        <color rgb="FF3F3F3F"/>
      </left>
      <right/>
      <top style="thin">
        <color rgb="FF3F3F3F"/>
      </top>
      <bottom style="thin">
        <color rgb="FF3F3F3F"/>
      </bottom>
      <diagonal/>
    </border>
    <border>
      <left style="medium">
        <color rgb="FF3F3F3F"/>
      </left>
      <right/>
      <top style="thin">
        <color rgb="FF3F3F3F"/>
      </top>
      <bottom style="thin">
        <color rgb="FF3F3F3F"/>
      </bottom>
      <diagonal/>
    </border>
    <border>
      <left style="medium">
        <color theme="1"/>
      </left>
      <right style="thin">
        <color rgb="FF3F3F3F"/>
      </right>
      <top style="thin">
        <color rgb="FF3F3F3F"/>
      </top>
      <bottom style="thin">
        <color rgb="FF3F3F3F"/>
      </bottom>
      <diagonal/>
    </border>
    <border>
      <left style="thin">
        <color rgb="FF3F3F3F"/>
      </left>
      <right style="medium">
        <color theme="1"/>
      </right>
      <top style="thin">
        <color rgb="FF3F3F3F"/>
      </top>
      <bottom style="thin">
        <color rgb="FF3F3F3F"/>
      </bottom>
      <diagonal/>
    </border>
    <border>
      <left style="thin">
        <color rgb="FF3F3F3F"/>
      </left>
      <right/>
      <top style="thin">
        <color rgb="FF3F3F3F"/>
      </top>
      <bottom/>
      <diagonal/>
    </border>
    <border>
      <left style="medium">
        <color rgb="FF3F3F3F"/>
      </left>
      <right/>
      <top style="thin">
        <color rgb="FF3F3F3F"/>
      </top>
      <bottom/>
      <diagonal/>
    </border>
    <border>
      <left style="medium">
        <color theme="1"/>
      </left>
      <right style="thin">
        <color rgb="FF3F3F3F"/>
      </right>
      <top style="thin">
        <color rgb="FF3F3F3F"/>
      </top>
      <bottom/>
      <diagonal/>
    </border>
    <border>
      <left style="thin">
        <color rgb="FF3F3F3F"/>
      </left>
      <right style="thin">
        <color rgb="FF3F3F3F"/>
      </right>
      <top style="thin">
        <color rgb="FF3F3F3F"/>
      </top>
      <bottom/>
      <diagonal/>
    </border>
    <border>
      <left style="thin">
        <color rgb="FF3F3F3F"/>
      </left>
      <right style="medium">
        <color theme="1"/>
      </right>
      <top style="thin">
        <color rgb="FF3F3F3F"/>
      </top>
      <bottom/>
      <diagonal/>
    </border>
    <border>
      <left style="thin">
        <color rgb="FF7F7F7F"/>
      </left>
      <right style="medium">
        <color theme="1"/>
      </right>
      <top style="medium">
        <color theme="1"/>
      </top>
      <bottom style="thin">
        <color rgb="FF7F7F7F"/>
      </bottom>
      <diagonal/>
    </border>
    <border>
      <left style="medium">
        <color auto="1"/>
      </left>
      <right style="medium">
        <color auto="1"/>
      </right>
      <top style="medium">
        <color auto="1"/>
      </top>
      <bottom style="thin">
        <color auto="1"/>
      </bottom>
      <diagonal/>
    </border>
    <border>
      <left/>
      <right style="medium">
        <color auto="1"/>
      </right>
      <top style="medium">
        <color auto="1"/>
      </top>
      <bottom/>
      <diagonal/>
    </border>
  </borders>
  <cellStyleXfs count="37">
    <xf numFmtId="0" fontId="0" fillId="0" borderId="0" applyFill="0" applyBorder="0"/>
    <xf numFmtId="0" fontId="20" fillId="4" borderId="0" applyNumberFormat="0" applyBorder="0" applyAlignment="0" applyProtection="0"/>
    <xf numFmtId="0" fontId="21" fillId="5" borderId="67" applyNumberFormat="0" applyAlignment="0" applyProtection="0"/>
    <xf numFmtId="0" fontId="22" fillId="6" borderId="68" applyNumberFormat="0" applyAlignment="0" applyProtection="0"/>
    <xf numFmtId="43" fontId="3" fillId="0" borderId="0" applyFont="0" applyFill="0" applyBorder="0" applyAlignment="0" applyProtection="0"/>
    <xf numFmtId="168" fontId="4" fillId="0" borderId="0" applyFont="0" applyFill="0" applyBorder="0" applyAlignment="0" applyProtection="0"/>
    <xf numFmtId="44" fontId="4" fillId="0" borderId="0" applyFont="0" applyFill="0" applyBorder="0" applyAlignment="0" applyProtection="0"/>
    <xf numFmtId="44" fontId="3" fillId="0" borderId="0" applyFont="0" applyFill="0" applyBorder="0" applyAlignment="0" applyProtection="0"/>
    <xf numFmtId="0" fontId="7" fillId="0" borderId="0" applyNumberFormat="0" applyFill="0" applyBorder="0" applyAlignment="0" applyProtection="0">
      <alignment vertical="top"/>
      <protection locked="0"/>
    </xf>
    <xf numFmtId="0" fontId="23" fillId="7" borderId="67" applyNumberFormat="0" applyAlignment="0" applyProtection="0"/>
    <xf numFmtId="0" fontId="6" fillId="0" borderId="0"/>
    <xf numFmtId="0" fontId="4" fillId="0" borderId="0"/>
    <xf numFmtId="0" fontId="4" fillId="0" borderId="0"/>
    <xf numFmtId="0" fontId="4" fillId="0" borderId="0" applyFill="0" applyBorder="0"/>
    <xf numFmtId="0" fontId="19" fillId="0" borderId="0"/>
    <xf numFmtId="0" fontId="6" fillId="8" borderId="69" applyNumberFormat="0" applyFont="0" applyAlignment="0" applyProtection="0"/>
    <xf numFmtId="0" fontId="4" fillId="8" borderId="69" applyNumberFormat="0" applyFont="0" applyAlignment="0" applyProtection="0"/>
    <xf numFmtId="0" fontId="24" fillId="5" borderId="70" applyNumberFormat="0" applyAlignment="0" applyProtection="0"/>
    <xf numFmtId="9" fontId="4" fillId="0" borderId="0" applyFont="0" applyFill="0" applyBorder="0" applyAlignment="0" applyProtection="0"/>
    <xf numFmtId="9" fontId="3" fillId="0" borderId="0" applyFont="0" applyFill="0" applyBorder="0" applyAlignment="0" applyProtection="0"/>
    <xf numFmtId="0" fontId="17" fillId="0" borderId="71"/>
    <xf numFmtId="2" fontId="25" fillId="5" borderId="70"/>
    <xf numFmtId="2" fontId="25" fillId="5" borderId="71"/>
    <xf numFmtId="9" fontId="17" fillId="9" borderId="1"/>
    <xf numFmtId="6" fontId="5" fillId="10" borderId="72"/>
    <xf numFmtId="44" fontId="25" fillId="11" borderId="71"/>
    <xf numFmtId="2" fontId="25" fillId="12" borderId="71"/>
    <xf numFmtId="44" fontId="26" fillId="13" borderId="71"/>
    <xf numFmtId="0" fontId="27" fillId="0" borderId="0"/>
    <xf numFmtId="9" fontId="27" fillId="0" borderId="0" applyFont="0" applyFill="0" applyBorder="0" applyAlignment="0" applyProtection="0"/>
    <xf numFmtId="0" fontId="2" fillId="0" borderId="0"/>
    <xf numFmtId="44" fontId="2" fillId="0" borderId="0" applyFont="0" applyFill="0" applyBorder="0" applyAlignment="0" applyProtection="0"/>
    <xf numFmtId="0" fontId="1" fillId="0" borderId="0"/>
    <xf numFmtId="44" fontId="4"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36" fillId="0" borderId="0" applyNumberFormat="0" applyFill="0" applyBorder="0" applyAlignment="0" applyProtection="0"/>
  </cellStyleXfs>
  <cellXfs count="213">
    <xf numFmtId="0" fontId="0" fillId="0" borderId="0" xfId="0"/>
    <xf numFmtId="9" fontId="0" fillId="0" borderId="0" xfId="0" applyNumberFormat="1"/>
    <xf numFmtId="0" fontId="0" fillId="0" borderId="2" xfId="0" applyBorder="1"/>
    <xf numFmtId="8" fontId="0" fillId="0" borderId="0" xfId="0" applyNumberFormat="1"/>
    <xf numFmtId="0" fontId="0" fillId="0" borderId="0" xfId="0" applyBorder="1"/>
    <xf numFmtId="44" fontId="0" fillId="0" borderId="0" xfId="6" applyFont="1"/>
    <xf numFmtId="44" fontId="0" fillId="0" borderId="0" xfId="0" applyNumberFormat="1"/>
    <xf numFmtId="0" fontId="22" fillId="6" borderId="68" xfId="3"/>
    <xf numFmtId="0" fontId="24" fillId="5" borderId="70" xfId="17"/>
    <xf numFmtId="0" fontId="0" fillId="0" borderId="0" xfId="0" applyFont="1"/>
    <xf numFmtId="0" fontId="11" fillId="0" borderId="0" xfId="0" applyFont="1"/>
    <xf numFmtId="0" fontId="12" fillId="0" borderId="0" xfId="0" applyFont="1"/>
    <xf numFmtId="0" fontId="24" fillId="5" borderId="6" xfId="17" applyBorder="1"/>
    <xf numFmtId="0" fontId="24" fillId="5" borderId="7" xfId="17" applyBorder="1"/>
    <xf numFmtId="0" fontId="24" fillId="5" borderId="8" xfId="17" applyBorder="1"/>
    <xf numFmtId="0" fontId="24" fillId="5" borderId="9" xfId="17" applyBorder="1"/>
    <xf numFmtId="0" fontId="24" fillId="0" borderId="0" xfId="17" applyFill="1" applyBorder="1"/>
    <xf numFmtId="0" fontId="24" fillId="5" borderId="10" xfId="17" applyBorder="1"/>
    <xf numFmtId="0" fontId="24" fillId="5" borderId="11" xfId="17" applyBorder="1"/>
    <xf numFmtId="0" fontId="24" fillId="5" borderId="12" xfId="17" applyBorder="1"/>
    <xf numFmtId="0" fontId="24" fillId="5" borderId="13" xfId="17" applyBorder="1"/>
    <xf numFmtId="165" fontId="0" fillId="0" borderId="14" xfId="0" applyNumberFormat="1" applyBorder="1"/>
    <xf numFmtId="14" fontId="0" fillId="0" borderId="4" xfId="0" applyNumberFormat="1" applyBorder="1"/>
    <xf numFmtId="0" fontId="0" fillId="0" borderId="15" xfId="0" applyBorder="1"/>
    <xf numFmtId="8" fontId="0" fillId="0" borderId="4" xfId="0" applyNumberFormat="1" applyBorder="1"/>
    <xf numFmtId="8" fontId="0" fillId="0" borderId="0" xfId="0" applyNumberFormat="1" applyBorder="1"/>
    <xf numFmtId="44" fontId="10" fillId="0" borderId="4" xfId="6" applyFont="1" applyBorder="1"/>
    <xf numFmtId="0" fontId="0" fillId="0" borderId="16" xfId="0" applyBorder="1"/>
    <xf numFmtId="166" fontId="0" fillId="0" borderId="0" xfId="0" applyNumberFormat="1" applyBorder="1"/>
    <xf numFmtId="166" fontId="0" fillId="0" borderId="16" xfId="0" applyNumberFormat="1" applyBorder="1"/>
    <xf numFmtId="8" fontId="0" fillId="0" borderId="15" xfId="0" applyNumberFormat="1" applyBorder="1"/>
    <xf numFmtId="165" fontId="11" fillId="0" borderId="14" xfId="0" applyNumberFormat="1" applyFont="1" applyBorder="1"/>
    <xf numFmtId="14" fontId="11" fillId="0" borderId="4" xfId="0" applyNumberFormat="1" applyFont="1" applyFill="1" applyBorder="1"/>
    <xf numFmtId="8" fontId="11" fillId="0" borderId="15" xfId="0" applyNumberFormat="1" applyFont="1" applyFill="1" applyBorder="1"/>
    <xf numFmtId="8" fontId="11" fillId="0" borderId="4" xfId="0" applyNumberFormat="1" applyFont="1" applyFill="1" applyBorder="1"/>
    <xf numFmtId="44" fontId="11" fillId="0" borderId="4" xfId="6" applyFont="1" applyFill="1" applyBorder="1"/>
    <xf numFmtId="14" fontId="11" fillId="0" borderId="4" xfId="0" applyNumberFormat="1" applyFont="1" applyBorder="1"/>
    <xf numFmtId="8" fontId="11" fillId="0" borderId="15" xfId="0" applyNumberFormat="1" applyFont="1" applyBorder="1"/>
    <xf numFmtId="8" fontId="11" fillId="0" borderId="4" xfId="0" applyNumberFormat="1" applyFont="1" applyBorder="1"/>
    <xf numFmtId="44" fontId="11" fillId="0" borderId="4" xfId="6" applyFont="1" applyBorder="1"/>
    <xf numFmtId="8" fontId="13" fillId="7" borderId="67" xfId="9" applyNumberFormat="1" applyFont="1"/>
    <xf numFmtId="44" fontId="13" fillId="7" borderId="67" xfId="9" applyNumberFormat="1" applyFont="1"/>
    <xf numFmtId="44" fontId="13" fillId="7" borderId="17" xfId="9" applyNumberFormat="1" applyFont="1" applyBorder="1"/>
    <xf numFmtId="0" fontId="15" fillId="2" borderId="6" xfId="17" applyFont="1" applyFill="1" applyBorder="1"/>
    <xf numFmtId="2" fontId="15" fillId="2" borderId="18" xfId="17" applyNumberFormat="1" applyFont="1" applyFill="1" applyBorder="1"/>
    <xf numFmtId="2" fontId="15" fillId="2" borderId="19" xfId="17" applyNumberFormat="1" applyFont="1" applyFill="1" applyBorder="1"/>
    <xf numFmtId="2" fontId="15" fillId="2" borderId="20" xfId="17" applyNumberFormat="1" applyFont="1" applyFill="1" applyBorder="1"/>
    <xf numFmtId="2" fontId="15" fillId="2" borderId="21" xfId="17" applyNumberFormat="1" applyFont="1" applyFill="1" applyBorder="1"/>
    <xf numFmtId="2" fontId="15" fillId="2" borderId="22" xfId="17" applyNumberFormat="1" applyFont="1" applyFill="1" applyBorder="1"/>
    <xf numFmtId="2" fontId="15" fillId="2" borderId="11" xfId="17" applyNumberFormat="1" applyFont="1" applyFill="1" applyBorder="1"/>
    <xf numFmtId="2" fontId="15" fillId="2" borderId="12" xfId="17" applyNumberFormat="1" applyFont="1" applyFill="1" applyBorder="1"/>
    <xf numFmtId="2" fontId="15" fillId="2" borderId="13" xfId="17" applyNumberFormat="1" applyFont="1" applyFill="1" applyBorder="1"/>
    <xf numFmtId="2" fontId="15" fillId="2" borderId="23" xfId="17" applyNumberFormat="1" applyFont="1" applyFill="1" applyBorder="1"/>
    <xf numFmtId="2" fontId="15" fillId="2" borderId="10" xfId="17" applyNumberFormat="1" applyFont="1" applyFill="1" applyBorder="1"/>
    <xf numFmtId="0" fontId="15" fillId="2" borderId="24" xfId="17" applyFont="1" applyFill="1" applyBorder="1"/>
    <xf numFmtId="2" fontId="15" fillId="2" borderId="25" xfId="17" applyNumberFormat="1" applyFont="1" applyFill="1" applyBorder="1"/>
    <xf numFmtId="2" fontId="15" fillId="2" borderId="26" xfId="17" applyNumberFormat="1" applyFont="1" applyFill="1" applyBorder="1"/>
    <xf numFmtId="2" fontId="15" fillId="2" borderId="27" xfId="17" applyNumberFormat="1" applyFont="1" applyFill="1" applyBorder="1"/>
    <xf numFmtId="2" fontId="15" fillId="2" borderId="28" xfId="17" applyNumberFormat="1" applyFont="1" applyFill="1" applyBorder="1"/>
    <xf numFmtId="2" fontId="15" fillId="2" borderId="24" xfId="17" applyNumberFormat="1" applyFont="1" applyFill="1" applyBorder="1"/>
    <xf numFmtId="0" fontId="15" fillId="2" borderId="29" xfId="17" applyFont="1" applyFill="1" applyBorder="1"/>
    <xf numFmtId="2" fontId="15" fillId="2" borderId="30" xfId="17" applyNumberFormat="1" applyFont="1" applyFill="1" applyBorder="1"/>
    <xf numFmtId="2" fontId="15" fillId="2" borderId="31" xfId="17" applyNumberFormat="1" applyFont="1" applyFill="1" applyBorder="1"/>
    <xf numFmtId="2" fontId="15" fillId="2" borderId="32" xfId="17" applyNumberFormat="1" applyFont="1" applyFill="1" applyBorder="1"/>
    <xf numFmtId="2" fontId="15" fillId="2" borderId="33" xfId="17" applyNumberFormat="1" applyFont="1" applyFill="1" applyBorder="1"/>
    <xf numFmtId="2" fontId="15" fillId="2" borderId="34" xfId="17" applyNumberFormat="1" applyFont="1" applyFill="1" applyBorder="1"/>
    <xf numFmtId="0" fontId="7" fillId="0" borderId="0" xfId="8" applyAlignment="1" applyProtection="1"/>
    <xf numFmtId="14" fontId="0" fillId="0" borderId="0" xfId="0" applyNumberFormat="1"/>
    <xf numFmtId="167" fontId="22" fillId="6" borderId="68" xfId="3" applyNumberFormat="1"/>
    <xf numFmtId="0" fontId="22" fillId="6" borderId="35" xfId="3" applyBorder="1"/>
    <xf numFmtId="0" fontId="22" fillId="6" borderId="36" xfId="3" applyBorder="1"/>
    <xf numFmtId="0" fontId="22" fillId="6" borderId="37" xfId="3" applyBorder="1"/>
    <xf numFmtId="167" fontId="0" fillId="0" borderId="0" xfId="0" applyNumberFormat="1"/>
    <xf numFmtId="2" fontId="0" fillId="0" borderId="0" xfId="0" applyNumberFormat="1"/>
    <xf numFmtId="0" fontId="22" fillId="6" borderId="3" xfId="3" applyBorder="1"/>
    <xf numFmtId="0" fontId="24" fillId="5" borderId="38" xfId="17" applyBorder="1"/>
    <xf numFmtId="0" fontId="24" fillId="5" borderId="39" xfId="17" applyBorder="1"/>
    <xf numFmtId="0" fontId="24" fillId="5" borderId="40" xfId="17" applyBorder="1"/>
    <xf numFmtId="0" fontId="24" fillId="5" borderId="41" xfId="17" applyBorder="1"/>
    <xf numFmtId="0" fontId="24" fillId="5" borderId="42" xfId="17" applyBorder="1"/>
    <xf numFmtId="0" fontId="24" fillId="5" borderId="1" xfId="17" applyBorder="1"/>
    <xf numFmtId="164" fontId="0" fillId="0" borderId="43" xfId="0" applyNumberFormat="1" applyBorder="1"/>
    <xf numFmtId="164" fontId="0" fillId="0" borderId="44" xfId="0" applyNumberFormat="1" applyBorder="1"/>
    <xf numFmtId="164" fontId="0" fillId="0" borderId="44" xfId="0" applyNumberFormat="1" applyFill="1" applyBorder="1"/>
    <xf numFmtId="164" fontId="16" fillId="0" borderId="45" xfId="0" applyNumberFormat="1" applyFont="1" applyFill="1" applyBorder="1"/>
    <xf numFmtId="164" fontId="0" fillId="0" borderId="1" xfId="0" applyNumberFormat="1" applyBorder="1" applyAlignment="1">
      <alignment horizontal="center"/>
    </xf>
    <xf numFmtId="0" fontId="24" fillId="5" borderId="46" xfId="17" applyBorder="1"/>
    <xf numFmtId="164" fontId="0" fillId="0" borderId="47" xfId="0" applyNumberFormat="1" applyBorder="1"/>
    <xf numFmtId="164" fontId="0" fillId="0" borderId="48" xfId="0" applyNumberFormat="1" applyBorder="1"/>
    <xf numFmtId="164" fontId="0" fillId="0" borderId="49" xfId="0" applyNumberFormat="1" applyFill="1" applyBorder="1"/>
    <xf numFmtId="164" fontId="0" fillId="0" borderId="50" xfId="0" applyNumberFormat="1" applyFill="1" applyBorder="1"/>
    <xf numFmtId="164" fontId="0" fillId="0" borderId="51" xfId="0" applyNumberFormat="1" applyBorder="1"/>
    <xf numFmtId="164" fontId="0" fillId="0" borderId="52" xfId="0" applyNumberFormat="1" applyBorder="1"/>
    <xf numFmtId="164" fontId="0" fillId="3" borderId="51" xfId="0" applyNumberFormat="1" applyFill="1" applyBorder="1"/>
    <xf numFmtId="164" fontId="0" fillId="3" borderId="49" xfId="0" applyNumberFormat="1" applyFill="1" applyBorder="1"/>
    <xf numFmtId="164" fontId="0" fillId="0" borderId="53" xfId="0" applyNumberFormat="1" applyFill="1" applyBorder="1"/>
    <xf numFmtId="0" fontId="24" fillId="5" borderId="54" xfId="17" applyBorder="1"/>
    <xf numFmtId="164" fontId="0" fillId="0" borderId="55" xfId="0" applyNumberFormat="1" applyBorder="1"/>
    <xf numFmtId="164" fontId="0" fillId="0" borderId="56" xfId="0" applyNumberFormat="1" applyBorder="1"/>
    <xf numFmtId="164" fontId="0" fillId="3" borderId="56" xfId="0" applyNumberFormat="1" applyFill="1" applyBorder="1"/>
    <xf numFmtId="164" fontId="0" fillId="0" borderId="15" xfId="0" applyNumberFormat="1" applyFill="1" applyBorder="1"/>
    <xf numFmtId="0" fontId="24" fillId="5" borderId="57" xfId="17" applyBorder="1"/>
    <xf numFmtId="0" fontId="0" fillId="0" borderId="58" xfId="0" applyBorder="1"/>
    <xf numFmtId="164" fontId="0" fillId="0" borderId="49" xfId="0" applyNumberFormat="1" applyBorder="1"/>
    <xf numFmtId="0" fontId="24" fillId="5" borderId="59" xfId="17" applyBorder="1"/>
    <xf numFmtId="164" fontId="0" fillId="0" borderId="60" xfId="0" applyNumberFormat="1" applyBorder="1"/>
    <xf numFmtId="164" fontId="0" fillId="0" borderId="61" xfId="0" applyNumberFormat="1" applyBorder="1"/>
    <xf numFmtId="164" fontId="0" fillId="3" borderId="61" xfId="0" applyNumberFormat="1" applyFill="1" applyBorder="1"/>
    <xf numFmtId="164" fontId="0" fillId="0" borderId="62" xfId="0" applyNumberFormat="1" applyFill="1" applyBorder="1"/>
    <xf numFmtId="164" fontId="0" fillId="0" borderId="43" xfId="0" applyNumberFormat="1" applyFill="1" applyBorder="1"/>
    <xf numFmtId="164" fontId="0" fillId="3" borderId="47" xfId="0" applyNumberFormat="1" applyFill="1" applyBorder="1"/>
    <xf numFmtId="164" fontId="0" fillId="0" borderId="48" xfId="0" applyNumberFormat="1" applyFill="1" applyBorder="1"/>
    <xf numFmtId="0" fontId="20" fillId="4" borderId="0" xfId="1" applyBorder="1"/>
    <xf numFmtId="0" fontId="20" fillId="4" borderId="0" xfId="1"/>
    <xf numFmtId="0" fontId="11" fillId="3" borderId="68" xfId="3" applyFont="1" applyFill="1"/>
    <xf numFmtId="14" fontId="12" fillId="0" borderId="0" xfId="0" applyNumberFormat="1" applyFont="1"/>
    <xf numFmtId="164" fontId="0" fillId="0" borderId="0" xfId="0" applyNumberFormat="1"/>
    <xf numFmtId="0" fontId="12" fillId="0" borderId="63" xfId="0" applyFont="1" applyFill="1" applyBorder="1" applyAlignment="1">
      <alignment horizontal="centerContinuous"/>
    </xf>
    <xf numFmtId="0" fontId="0" fillId="0" borderId="0" xfId="0" applyFill="1" applyBorder="1" applyAlignment="1"/>
    <xf numFmtId="0" fontId="0" fillId="0" borderId="64" xfId="0" applyFill="1" applyBorder="1" applyAlignment="1"/>
    <xf numFmtId="0" fontId="12" fillId="0" borderId="63" xfId="0" applyFont="1" applyFill="1" applyBorder="1" applyAlignment="1">
      <alignment horizontal="center"/>
    </xf>
    <xf numFmtId="0" fontId="11" fillId="3" borderId="0" xfId="0" applyFont="1" applyFill="1" applyBorder="1" applyAlignment="1"/>
    <xf numFmtId="9" fontId="0" fillId="0" borderId="0" xfId="18" applyFont="1"/>
    <xf numFmtId="0" fontId="4" fillId="0" borderId="0" xfId="0" applyFont="1"/>
    <xf numFmtId="0" fontId="29" fillId="6" borderId="68" xfId="3" applyFont="1"/>
    <xf numFmtId="0" fontId="30" fillId="0" borderId="0" xfId="30" applyFont="1"/>
    <xf numFmtId="0" fontId="22" fillId="6" borderId="73" xfId="3" applyBorder="1"/>
    <xf numFmtId="0" fontId="2" fillId="0" borderId="0" xfId="30"/>
    <xf numFmtId="0" fontId="2" fillId="0" borderId="0" xfId="30" applyFont="1"/>
    <xf numFmtId="0" fontId="20" fillId="0" borderId="0" xfId="30" applyFont="1"/>
    <xf numFmtId="0" fontId="20" fillId="0" borderId="74" xfId="30" applyFont="1" applyBorder="1"/>
    <xf numFmtId="0" fontId="31" fillId="0" borderId="0" xfId="30" applyFont="1"/>
    <xf numFmtId="0" fontId="22" fillId="6" borderId="75" xfId="3" applyFont="1" applyBorder="1"/>
    <xf numFmtId="0" fontId="22" fillId="6" borderId="76" xfId="3" applyFont="1" applyBorder="1" applyAlignment="1">
      <alignment horizontal="right"/>
    </xf>
    <xf numFmtId="0" fontId="22" fillId="6" borderId="77" xfId="3" applyFont="1" applyBorder="1" applyAlignment="1">
      <alignment horizontal="right"/>
    </xf>
    <xf numFmtId="0" fontId="22" fillId="6" borderId="75" xfId="3" applyFont="1" applyBorder="1" applyAlignment="1">
      <alignment horizontal="right"/>
    </xf>
    <xf numFmtId="0" fontId="22" fillId="6" borderId="78" xfId="3" applyFont="1" applyBorder="1" applyAlignment="1">
      <alignment horizontal="right"/>
    </xf>
    <xf numFmtId="0" fontId="28" fillId="0" borderId="0" xfId="30" applyFont="1"/>
    <xf numFmtId="0" fontId="22" fillId="6" borderId="79" xfId="3" applyBorder="1" applyAlignment="1">
      <alignment horizontal="left" indent="1"/>
    </xf>
    <xf numFmtId="37" fontId="24" fillId="5" borderId="80" xfId="17" applyNumberFormat="1" applyBorder="1"/>
    <xf numFmtId="37" fontId="24" fillId="5" borderId="81" xfId="17" applyNumberFormat="1" applyBorder="1"/>
    <xf numFmtId="37" fontId="24" fillId="5" borderId="82" xfId="17" applyNumberFormat="1" applyBorder="1"/>
    <xf numFmtId="0" fontId="24" fillId="5" borderId="83" xfId="17" applyFont="1" applyBorder="1" applyAlignment="1">
      <alignment horizontal="right" wrapText="1" indent="1"/>
    </xf>
    <xf numFmtId="0" fontId="32" fillId="7" borderId="84" xfId="9" applyFont="1" applyBorder="1"/>
    <xf numFmtId="2" fontId="24" fillId="5" borderId="85" xfId="17" applyNumberFormat="1" applyBorder="1"/>
    <xf numFmtId="2" fontId="24" fillId="5" borderId="86" xfId="17" applyNumberFormat="1" applyBorder="1"/>
    <xf numFmtId="0" fontId="24" fillId="5" borderId="86" xfId="17" applyBorder="1"/>
    <xf numFmtId="0" fontId="30" fillId="0" borderId="87" xfId="30" applyFont="1" applyBorder="1"/>
    <xf numFmtId="44" fontId="24" fillId="10" borderId="88" xfId="31" applyFont="1" applyFill="1" applyBorder="1"/>
    <xf numFmtId="43" fontId="33" fillId="0" borderId="89" xfId="30" applyNumberFormat="1" applyFont="1" applyBorder="1"/>
    <xf numFmtId="43" fontId="33" fillId="0" borderId="90" xfId="30" applyNumberFormat="1" applyFont="1" applyBorder="1"/>
    <xf numFmtId="43" fontId="21" fillId="5" borderId="91" xfId="2" applyNumberFormat="1" applyBorder="1"/>
    <xf numFmtId="0" fontId="2" fillId="0" borderId="0" xfId="30" applyFont="1" applyBorder="1"/>
    <xf numFmtId="0" fontId="30" fillId="0" borderId="92" xfId="30" applyFont="1" applyBorder="1"/>
    <xf numFmtId="44" fontId="24" fillId="10" borderId="93" xfId="31" applyFont="1" applyFill="1" applyBorder="1"/>
    <xf numFmtId="43" fontId="33" fillId="0" borderId="94" xfId="30" applyNumberFormat="1" applyFont="1" applyBorder="1"/>
    <xf numFmtId="43" fontId="33" fillId="0" borderId="0" xfId="30" applyNumberFormat="1" applyFont="1" applyBorder="1"/>
    <xf numFmtId="0" fontId="30" fillId="0" borderId="95" xfId="30" applyFont="1" applyBorder="1"/>
    <xf numFmtId="44" fontId="24" fillId="10" borderId="96" xfId="31" applyFont="1" applyFill="1" applyBorder="1"/>
    <xf numFmtId="43" fontId="33" fillId="0" borderId="97" xfId="30" applyNumberFormat="1" applyFont="1" applyBorder="1"/>
    <xf numFmtId="43" fontId="33" fillId="0" borderId="5" xfId="30" applyNumberFormat="1" applyFont="1" applyBorder="1"/>
    <xf numFmtId="43" fontId="21" fillId="5" borderId="98" xfId="2" applyNumberFormat="1" applyBorder="1"/>
    <xf numFmtId="43" fontId="33" fillId="0" borderId="99" xfId="30" applyNumberFormat="1" applyFont="1" applyBorder="1"/>
    <xf numFmtId="43" fontId="21" fillId="5" borderId="100" xfId="2" applyNumberFormat="1" applyBorder="1"/>
    <xf numFmtId="43" fontId="33" fillId="0" borderId="101" xfId="30" applyNumberFormat="1" applyFont="1" applyBorder="1"/>
    <xf numFmtId="0" fontId="30" fillId="0" borderId="102" xfId="30" applyFont="1" applyBorder="1"/>
    <xf numFmtId="44" fontId="24" fillId="10" borderId="103" xfId="31" applyFont="1" applyFill="1" applyBorder="1"/>
    <xf numFmtId="43" fontId="33" fillId="0" borderId="104" xfId="30" applyNumberFormat="1" applyFont="1" applyBorder="1"/>
    <xf numFmtId="43" fontId="33" fillId="0" borderId="105" xfId="30" applyNumberFormat="1" applyFont="1" applyBorder="1"/>
    <xf numFmtId="43" fontId="33" fillId="0" borderId="106" xfId="30" applyNumberFormat="1" applyFont="1" applyBorder="1"/>
    <xf numFmtId="0" fontId="34" fillId="0" borderId="107" xfId="30" applyFont="1" applyBorder="1" applyAlignment="1">
      <alignment horizontal="left" indent="2"/>
    </xf>
    <xf numFmtId="0" fontId="2" fillId="0" borderId="93" xfId="30" applyBorder="1"/>
    <xf numFmtId="43" fontId="34" fillId="0" borderId="108" xfId="30" applyNumberFormat="1" applyFont="1" applyBorder="1"/>
    <xf numFmtId="43" fontId="34" fillId="0" borderId="107" xfId="30" applyNumberFormat="1" applyFont="1" applyBorder="1"/>
    <xf numFmtId="37" fontId="24" fillId="5" borderId="109" xfId="17" applyNumberFormat="1" applyBorder="1"/>
    <xf numFmtId="0" fontId="24" fillId="5" borderId="110" xfId="17" applyBorder="1"/>
    <xf numFmtId="0" fontId="2" fillId="0" borderId="94" xfId="30" applyBorder="1"/>
    <xf numFmtId="0" fontId="24" fillId="5" borderId="111" xfId="17" applyBorder="1" applyAlignment="1">
      <alignment horizontal="left" wrapText="1" indent="1"/>
    </xf>
    <xf numFmtId="2" fontId="24" fillId="5" borderId="112" xfId="17" applyNumberFormat="1" applyBorder="1"/>
    <xf numFmtId="2" fontId="24" fillId="5" borderId="113" xfId="17" applyNumberFormat="1" applyBorder="1"/>
    <xf numFmtId="2" fontId="24" fillId="5" borderId="70" xfId="17" applyNumberFormat="1"/>
    <xf numFmtId="2" fontId="24" fillId="5" borderId="114" xfId="17" applyNumberFormat="1" applyBorder="1"/>
    <xf numFmtId="0" fontId="24" fillId="5" borderId="115" xfId="17" applyBorder="1" applyAlignment="1">
      <alignment horizontal="left" wrapText="1" indent="1"/>
    </xf>
    <xf numFmtId="2" fontId="24" fillId="5" borderId="116" xfId="17" applyNumberFormat="1" applyBorder="1"/>
    <xf numFmtId="2" fontId="24" fillId="5" borderId="117" xfId="17" applyNumberFormat="1" applyBorder="1"/>
    <xf numFmtId="2" fontId="24" fillId="5" borderId="118" xfId="17" applyNumberFormat="1" applyBorder="1"/>
    <xf numFmtId="2" fontId="24" fillId="5" borderId="119" xfId="17" applyNumberFormat="1" applyBorder="1"/>
    <xf numFmtId="43" fontId="21" fillId="5" borderId="120" xfId="2" applyNumberFormat="1" applyBorder="1"/>
    <xf numFmtId="44" fontId="24" fillId="10" borderId="112" xfId="31" applyFont="1" applyFill="1" applyBorder="1"/>
    <xf numFmtId="43" fontId="33" fillId="0" borderId="65" xfId="30" applyNumberFormat="1" applyFont="1" applyBorder="1"/>
    <xf numFmtId="0" fontId="33" fillId="0" borderId="87" xfId="30" applyFont="1" applyFill="1" applyBorder="1" applyAlignment="1">
      <alignment horizontal="left" wrapText="1"/>
    </xf>
    <xf numFmtId="44" fontId="24" fillId="10" borderId="88" xfId="17" applyNumberFormat="1" applyFill="1" applyBorder="1"/>
    <xf numFmtId="44" fontId="24" fillId="10" borderId="116" xfId="17" applyNumberFormat="1" applyFill="1" applyBorder="1"/>
    <xf numFmtId="0" fontId="2" fillId="0" borderId="0" xfId="30" quotePrefix="1" applyFont="1"/>
    <xf numFmtId="44" fontId="24" fillId="10" borderId="96" xfId="17" applyNumberFormat="1" applyFill="1" applyBorder="1"/>
    <xf numFmtId="0" fontId="33" fillId="0" borderId="95" xfId="30" applyFont="1" applyFill="1" applyBorder="1" applyAlignment="1">
      <alignment horizontal="left" wrapText="1"/>
    </xf>
    <xf numFmtId="0" fontId="33" fillId="0" borderId="92" xfId="30" applyFont="1" applyFill="1" applyBorder="1" applyAlignment="1">
      <alignment horizontal="left" wrapText="1"/>
    </xf>
    <xf numFmtId="44" fontId="24" fillId="10" borderId="112" xfId="17" applyNumberFormat="1" applyFill="1" applyBorder="1"/>
    <xf numFmtId="44" fontId="24" fillId="10" borderId="103" xfId="17" applyNumberFormat="1" applyFill="1" applyBorder="1"/>
    <xf numFmtId="0" fontId="34" fillId="0" borderId="107" xfId="30" applyFont="1" applyFill="1" applyBorder="1" applyAlignment="1">
      <alignment horizontal="left" wrapText="1" indent="2"/>
    </xf>
    <xf numFmtId="44" fontId="24" fillId="10" borderId="93" xfId="17" applyNumberFormat="1" applyFill="1" applyBorder="1"/>
    <xf numFmtId="0" fontId="24" fillId="5" borderId="83" xfId="17" applyFont="1" applyBorder="1" applyAlignment="1">
      <alignment horizontal="left" wrapText="1" indent="1"/>
    </xf>
    <xf numFmtId="44" fontId="24" fillId="10" borderId="121" xfId="17" applyNumberFormat="1" applyFill="1" applyBorder="1"/>
    <xf numFmtId="43" fontId="30" fillId="0" borderId="90" xfId="30" applyNumberFormat="1" applyFont="1" applyBorder="1"/>
    <xf numFmtId="43" fontId="30" fillId="0" borderId="122" xfId="30" applyNumberFormat="1" applyFont="1" applyBorder="1"/>
    <xf numFmtId="44" fontId="24" fillId="10" borderId="66" xfId="17" applyNumberFormat="1" applyFill="1" applyBorder="1"/>
    <xf numFmtId="2" fontId="30" fillId="0" borderId="105" xfId="30" applyNumberFormat="1" applyFont="1" applyBorder="1"/>
    <xf numFmtId="2" fontId="30" fillId="0" borderId="106" xfId="30" applyNumberFormat="1" applyFont="1" applyBorder="1"/>
    <xf numFmtId="0" fontId="24" fillId="5" borderId="70" xfId="17" applyFont="1"/>
    <xf numFmtId="164" fontId="15" fillId="2" borderId="32" xfId="17" applyNumberFormat="1" applyFont="1" applyFill="1" applyBorder="1"/>
    <xf numFmtId="8" fontId="14" fillId="0" borderId="0" xfId="0" applyNumberFormat="1" applyFont="1"/>
    <xf numFmtId="44" fontId="4" fillId="0" borderId="0" xfId="0" applyNumberFormat="1" applyFont="1"/>
    <xf numFmtId="2" fontId="15" fillId="13" borderId="27" xfId="17" applyNumberFormat="1" applyFont="1" applyFill="1" applyBorder="1"/>
  </cellXfs>
  <cellStyles count="37">
    <cellStyle name="Accent1" xfId="1" builtinId="29"/>
    <cellStyle name="Calculation" xfId="2" builtinId="22"/>
    <cellStyle name="Check Cell" xfId="3" builtinId="23"/>
    <cellStyle name="Comma 2" xfId="4"/>
    <cellStyle name="Comma 3" xfId="5"/>
    <cellStyle name="Currency" xfId="6" builtinId="4"/>
    <cellStyle name="Currency 2" xfId="7"/>
    <cellStyle name="Currency 2 2" xfId="33"/>
    <cellStyle name="Currency 3" xfId="31"/>
    <cellStyle name="Currency 3 2" xfId="35"/>
    <cellStyle name="Hyperlink" xfId="8" builtinId="8"/>
    <cellStyle name="Hyperlink 2" xfId="36"/>
    <cellStyle name="Input" xfId="9" builtinId="20"/>
    <cellStyle name="Normal" xfId="0" builtinId="0"/>
    <cellStyle name="Normal 2" xfId="10"/>
    <cellStyle name="Normal 2 2" xfId="11"/>
    <cellStyle name="Normal 2_Mustang JV Business Plan_Preliminary Model_090111" xfId="12"/>
    <cellStyle name="Normal 3" xfId="13"/>
    <cellStyle name="Normal 4" xfId="14"/>
    <cellStyle name="Normal 5" xfId="28"/>
    <cellStyle name="Normal 6" xfId="30"/>
    <cellStyle name="Normal 6 2" xfId="32"/>
    <cellStyle name="Note 2" xfId="15"/>
    <cellStyle name="Note 3" xfId="16"/>
    <cellStyle name="Output" xfId="17" builtinId="21"/>
    <cellStyle name="Percent" xfId="18" builtinId="5"/>
    <cellStyle name="Percent 2" xfId="19"/>
    <cellStyle name="Percent 3" xfId="29"/>
    <cellStyle name="Percent 4" xfId="34"/>
    <cellStyle name="Style 1" xfId="20"/>
    <cellStyle name="Style 1 output" xfId="21"/>
    <cellStyle name="Style 1 -Output 2" xfId="22"/>
    <cellStyle name="Style 1_input" xfId="23"/>
    <cellStyle name="Style 2" xfId="24"/>
    <cellStyle name="Style 3_sum_note" xfId="25"/>
    <cellStyle name="Style 5_output_sum" xfId="26"/>
    <cellStyle name="Style 7_BIG_Summary" xfId="27"/>
  </cellStyles>
  <dxfs count="54">
    <dxf>
      <font>
        <color rgb="FF9C6500"/>
      </font>
      <fill>
        <patternFill>
          <bgColor rgb="FFFFEB9C"/>
        </patternFill>
      </fill>
    </dxf>
    <dxf>
      <font>
        <color rgb="FF9C6500"/>
      </font>
      <fill>
        <patternFill>
          <bgColor rgb="FFFFEB9C"/>
        </patternFill>
      </fill>
    </dxf>
    <dxf>
      <fill>
        <patternFill>
          <bgColor rgb="FFFFFF99"/>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b/>
        <i val="0"/>
        <color theme="1"/>
      </font>
      <fill>
        <patternFill>
          <bgColor rgb="FFFFFF99"/>
        </patternFill>
      </fill>
      <border>
        <left style="thin">
          <color theme="1"/>
        </left>
        <right style="thin">
          <color theme="1"/>
        </right>
        <top style="thin">
          <color theme="1"/>
        </top>
        <bottom style="thin">
          <color theme="1"/>
        </bottom>
      </border>
    </dxf>
    <dxf>
      <fill>
        <patternFill>
          <bgColor rgb="FFFFFF99"/>
        </patternFill>
      </fill>
    </dxf>
    <dxf>
      <font>
        <b/>
        <i val="0"/>
        <color theme="1"/>
      </font>
      <fill>
        <patternFill>
          <bgColor rgb="FFFFFF99"/>
        </patternFill>
      </fill>
      <border>
        <left style="thin">
          <color theme="1"/>
        </left>
        <right style="thin">
          <color theme="1"/>
        </right>
        <top style="thin">
          <color theme="1"/>
        </top>
        <bottom style="thin">
          <color theme="1"/>
        </bottom>
      </border>
    </dxf>
    <dxf>
      <font>
        <b/>
        <i val="0"/>
        <color theme="1"/>
      </font>
      <fill>
        <patternFill>
          <bgColor rgb="FFFFFF99"/>
        </patternFill>
      </fill>
      <border>
        <left style="thin">
          <color theme="1"/>
        </left>
        <right style="thin">
          <color theme="1"/>
        </right>
        <top style="thin">
          <color theme="1"/>
        </top>
        <bottom style="thin">
          <color theme="1"/>
        </bottom>
      </border>
    </dxf>
    <dxf>
      <font>
        <b/>
        <i val="0"/>
        <color theme="1"/>
      </font>
      <fill>
        <patternFill>
          <bgColor rgb="FFFFFF99"/>
        </patternFill>
      </fill>
      <border>
        <left style="thin">
          <color theme="1"/>
        </left>
        <right style="thin">
          <color theme="1"/>
        </right>
        <top style="thin">
          <color theme="1"/>
        </top>
        <bottom style="thin">
          <color theme="1"/>
        </bottom>
      </border>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s>
  <tableStyles count="0" defaultTableStyle="TableStyleMedium9" defaultPivotStyle="PivotStyleLight16"/>
  <colors>
    <mruColors>
      <color rgb="FFFFFFCC"/>
      <color rgb="FFFFFF00"/>
      <color rgb="FFFFCC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calcChain" Target="calcChain.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mo/Documents/2.0%20CLIENT%20PROJECTS/2.1.6%20DSM%20LIBERTY/Comparitive_Cases/Comparitive_Model-v3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My%20Documents\352456\Maildata\Temp\VIBES_CEtOH_MC_v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Users\nemo\Documents\2.0%20CLIENTS%20BIOMATICA\2.1.3%20DSM%20Financing\Sim%20Models\2G_Bioethanol_Case-v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My%20Documents\352456\Maildata\Temp\Scoping\BSD%20Biofuels%20scenarios%2010081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nemo/Documents/2.0%20CLIENT%20PROJECTS/2.1.3%20DSM%20Financing/Sim%20Models/VIBES_CEtOH_MC_v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Scott/AppData/Roaming/Microsoft/Excel/Financial%20analysis%20CF2E%20240909%20-%20Yeast%20%20Cellulases%20(3).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Users\Scott\AppData\Roaming\Microsoft\Excel\Financial%20analysis%20CF2E%20240909%20-%20Yeast%20%20Cellulases%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RISKFitInformation"/>
      <sheetName val="Figures"/>
      <sheetName val="Variables"/>
      <sheetName val="Prices"/>
      <sheetName val="Compare"/>
      <sheetName val="Costs"/>
      <sheetName val="0.0.W1_Full"/>
      <sheetName val="0.1.W1_Full_Hedged"/>
      <sheetName val="1.0.Hybrid_Full"/>
      <sheetName val="RiskSerializationData"/>
      <sheetName val="rsklibSimData"/>
      <sheetName val="1.2.Hybrid_Full_Hedged"/>
      <sheetName val="2.0.Hybrid_Financed_Hedged"/>
      <sheetName val="Historical_Prices"/>
      <sheetName val="Correlation"/>
      <sheetName val="Econometric"/>
      <sheetName val="treeCalc_1"/>
      <sheetName val="treeCalc_2"/>
    </sheetNames>
    <sheetDataSet>
      <sheetData sheetId="0"/>
      <sheetData sheetId="1"/>
      <sheetData sheetId="2">
        <row r="32">
          <cell r="C32">
            <v>22</v>
          </cell>
        </row>
      </sheetData>
      <sheetData sheetId="3"/>
      <sheetData sheetId="4"/>
      <sheetData sheetId="5"/>
      <sheetData sheetId="6"/>
      <sheetData sheetId="7"/>
      <sheetData sheetId="8"/>
      <sheetData sheetId="9"/>
      <sheetData sheetId="10"/>
      <sheetData sheetId="11"/>
      <sheetData sheetId="12"/>
      <sheetData sheetId="13">
        <row r="8">
          <cell r="C8">
            <v>1.9</v>
          </cell>
        </row>
        <row r="9">
          <cell r="C9">
            <v>1.93</v>
          </cell>
        </row>
        <row r="10">
          <cell r="C10">
            <v>2.02</v>
          </cell>
        </row>
        <row r="11">
          <cell r="C11">
            <v>2.06</v>
          </cell>
        </row>
        <row r="12">
          <cell r="C12">
            <v>2.1</v>
          </cell>
        </row>
        <row r="13">
          <cell r="C13">
            <v>2.1</v>
          </cell>
        </row>
        <row r="14">
          <cell r="C14">
            <v>2.14</v>
          </cell>
        </row>
        <row r="15">
          <cell r="C15">
            <v>2.2200000000000002</v>
          </cell>
        </row>
        <row r="16">
          <cell r="C16">
            <v>2.27</v>
          </cell>
        </row>
        <row r="17">
          <cell r="C17">
            <v>2.33</v>
          </cell>
        </row>
        <row r="18">
          <cell r="C18">
            <v>2.34</v>
          </cell>
        </row>
        <row r="19">
          <cell r="C19">
            <v>2.31</v>
          </cell>
        </row>
        <row r="20">
          <cell r="C20">
            <v>2.17</v>
          </cell>
        </row>
        <row r="21">
          <cell r="C21">
            <v>2</v>
          </cell>
        </row>
        <row r="22">
          <cell r="C22">
            <v>1.8</v>
          </cell>
        </row>
        <row r="23">
          <cell r="C23">
            <v>1.81</v>
          </cell>
        </row>
        <row r="24">
          <cell r="C24">
            <v>1.9</v>
          </cell>
        </row>
        <row r="25">
          <cell r="C25">
            <v>1.99</v>
          </cell>
        </row>
        <row r="26">
          <cell r="C26">
            <v>2.04</v>
          </cell>
        </row>
        <row r="27">
          <cell r="C27">
            <v>2.13</v>
          </cell>
        </row>
        <row r="28">
          <cell r="C28">
            <v>2.19</v>
          </cell>
        </row>
        <row r="29">
          <cell r="C29">
            <v>2.25</v>
          </cell>
        </row>
        <row r="30">
          <cell r="C30">
            <v>2.2200000000000002</v>
          </cell>
        </row>
        <row r="31">
          <cell r="C31">
            <v>2.17</v>
          </cell>
        </row>
        <row r="32">
          <cell r="C32">
            <v>2.13</v>
          </cell>
        </row>
        <row r="33">
          <cell r="C33">
            <v>2.16</v>
          </cell>
        </row>
        <row r="34">
          <cell r="C34">
            <v>2.19</v>
          </cell>
        </row>
        <row r="35">
          <cell r="C35">
            <v>2.14</v>
          </cell>
        </row>
        <row r="36">
          <cell r="C36">
            <v>2.17</v>
          </cell>
        </row>
        <row r="37">
          <cell r="C37">
            <v>2.2000000000000002</v>
          </cell>
        </row>
        <row r="38">
          <cell r="C38">
            <v>2.17</v>
          </cell>
        </row>
        <row r="39">
          <cell r="C39">
            <v>2.16</v>
          </cell>
        </row>
        <row r="40">
          <cell r="C40">
            <v>2.17</v>
          </cell>
        </row>
        <row r="41">
          <cell r="C41">
            <v>2.1</v>
          </cell>
        </row>
        <row r="42">
          <cell r="C42">
            <v>2.04</v>
          </cell>
        </row>
        <row r="43">
          <cell r="C43">
            <v>2.0299999999999998</v>
          </cell>
        </row>
        <row r="44">
          <cell r="C44">
            <v>2.0099999999999998</v>
          </cell>
        </row>
        <row r="45">
          <cell r="C45">
            <v>1.98</v>
          </cell>
        </row>
        <row r="46">
          <cell r="C46">
            <v>1.94</v>
          </cell>
        </row>
        <row r="47">
          <cell r="C47">
            <v>1.96</v>
          </cell>
        </row>
        <row r="48">
          <cell r="C48">
            <v>1.97</v>
          </cell>
        </row>
        <row r="49">
          <cell r="C49">
            <v>1.93</v>
          </cell>
        </row>
        <row r="50">
          <cell r="C50">
            <v>1.85</v>
          </cell>
        </row>
        <row r="51">
          <cell r="C51">
            <v>1.82</v>
          </cell>
        </row>
        <row r="52">
          <cell r="C52">
            <v>1.77</v>
          </cell>
        </row>
        <row r="53">
          <cell r="C53">
            <v>1.67</v>
          </cell>
        </row>
        <row r="54">
          <cell r="C54">
            <v>1.6</v>
          </cell>
        </row>
        <row r="55">
          <cell r="C55">
            <v>1.54</v>
          </cell>
        </row>
        <row r="56">
          <cell r="C56">
            <v>1.52</v>
          </cell>
        </row>
        <row r="57">
          <cell r="C57">
            <v>1.51</v>
          </cell>
        </row>
        <row r="58">
          <cell r="C58">
            <v>1.49</v>
          </cell>
        </row>
        <row r="59">
          <cell r="C59">
            <v>1.5</v>
          </cell>
        </row>
        <row r="60">
          <cell r="C60">
            <v>1.55</v>
          </cell>
        </row>
        <row r="61">
          <cell r="C61">
            <v>1.61</v>
          </cell>
        </row>
        <row r="62">
          <cell r="C62">
            <v>1.67</v>
          </cell>
        </row>
        <row r="63">
          <cell r="C63">
            <v>1.72</v>
          </cell>
        </row>
        <row r="64">
          <cell r="C64">
            <v>1.78</v>
          </cell>
        </row>
        <row r="65">
          <cell r="C65">
            <v>1.83</v>
          </cell>
        </row>
        <row r="66">
          <cell r="C66">
            <v>1.87</v>
          </cell>
        </row>
        <row r="67">
          <cell r="C67">
            <v>1.87</v>
          </cell>
        </row>
        <row r="68">
          <cell r="C68">
            <v>1.97</v>
          </cell>
        </row>
        <row r="69">
          <cell r="C69">
            <v>2.1</v>
          </cell>
        </row>
        <row r="70">
          <cell r="C70">
            <v>2.15</v>
          </cell>
        </row>
        <row r="71">
          <cell r="C71">
            <v>2.2400000000000002</v>
          </cell>
        </row>
        <row r="72">
          <cell r="C72">
            <v>2.17</v>
          </cell>
        </row>
        <row r="73">
          <cell r="C73">
            <v>2.17</v>
          </cell>
        </row>
        <row r="74">
          <cell r="C74">
            <v>2.17</v>
          </cell>
        </row>
        <row r="75">
          <cell r="C75">
            <v>2.13</v>
          </cell>
        </row>
        <row r="76">
          <cell r="C76">
            <v>2.08</v>
          </cell>
        </row>
        <row r="77">
          <cell r="C77">
            <v>2.1</v>
          </cell>
        </row>
        <row r="78">
          <cell r="C78">
            <v>2.2000000000000002</v>
          </cell>
        </row>
        <row r="79">
          <cell r="C79">
            <v>2.27</v>
          </cell>
        </row>
        <row r="80">
          <cell r="C80">
            <v>2.31</v>
          </cell>
        </row>
        <row r="81">
          <cell r="C81">
            <v>2.35</v>
          </cell>
        </row>
        <row r="82">
          <cell r="C82">
            <v>2.33</v>
          </cell>
        </row>
        <row r="83">
          <cell r="C83">
            <v>2.37</v>
          </cell>
        </row>
        <row r="84">
          <cell r="C84">
            <v>2.44</v>
          </cell>
        </row>
        <row r="85">
          <cell r="C85">
            <v>2.46</v>
          </cell>
        </row>
        <row r="86">
          <cell r="C86">
            <v>2.5</v>
          </cell>
        </row>
        <row r="87">
          <cell r="C87">
            <v>2.5099999999999998</v>
          </cell>
        </row>
        <row r="88">
          <cell r="C88">
            <v>2.4900000000000002</v>
          </cell>
        </row>
        <row r="89">
          <cell r="C89">
            <v>2.4900000000000002</v>
          </cell>
        </row>
        <row r="90">
          <cell r="C90">
            <v>2.4900000000000002</v>
          </cell>
        </row>
        <row r="91">
          <cell r="C91">
            <v>2.48</v>
          </cell>
        </row>
        <row r="92">
          <cell r="C92">
            <v>2.4300000000000002</v>
          </cell>
        </row>
        <row r="93">
          <cell r="C93">
            <v>2.36</v>
          </cell>
        </row>
        <row r="94">
          <cell r="C94">
            <v>2.5499999999999998</v>
          </cell>
        </row>
        <row r="95">
          <cell r="C95">
            <v>2.75</v>
          </cell>
        </row>
        <row r="96">
          <cell r="C96">
            <v>2.8</v>
          </cell>
        </row>
        <row r="97">
          <cell r="C97">
            <v>2.8</v>
          </cell>
        </row>
        <row r="98">
          <cell r="C98">
            <v>2.69</v>
          </cell>
        </row>
        <row r="99">
          <cell r="C99">
            <v>2.54</v>
          </cell>
        </row>
        <row r="100">
          <cell r="C100">
            <v>2.4</v>
          </cell>
        </row>
        <row r="101">
          <cell r="C101">
            <v>2.35</v>
          </cell>
        </row>
        <row r="102">
          <cell r="C102">
            <v>2.21</v>
          </cell>
        </row>
        <row r="103">
          <cell r="C103">
            <v>2.1</v>
          </cell>
        </row>
        <row r="104">
          <cell r="C104">
            <v>2.21</v>
          </cell>
        </row>
        <row r="105">
          <cell r="C105">
            <v>2.2400000000000002</v>
          </cell>
        </row>
        <row r="106">
          <cell r="C106">
            <v>2.17</v>
          </cell>
        </row>
        <row r="107">
          <cell r="C107">
            <v>2.12</v>
          </cell>
        </row>
        <row r="108">
          <cell r="C108">
            <v>2.1</v>
          </cell>
        </row>
        <row r="109">
          <cell r="C109">
            <v>2.14</v>
          </cell>
        </row>
        <row r="110">
          <cell r="C110">
            <v>2.04</v>
          </cell>
        </row>
        <row r="111">
          <cell r="C111">
            <v>1.84</v>
          </cell>
        </row>
        <row r="112">
          <cell r="C112">
            <v>1.68</v>
          </cell>
        </row>
        <row r="113">
          <cell r="C113">
            <v>1.67</v>
          </cell>
        </row>
        <row r="114">
          <cell r="C114">
            <v>1.67</v>
          </cell>
        </row>
        <row r="115">
          <cell r="C115">
            <v>1.68</v>
          </cell>
        </row>
        <row r="116">
          <cell r="C116">
            <v>1.63</v>
          </cell>
        </row>
        <row r="117">
          <cell r="C117">
            <v>1.62</v>
          </cell>
        </row>
        <row r="118">
          <cell r="C118">
            <v>1.57</v>
          </cell>
        </row>
        <row r="119">
          <cell r="C119">
            <v>1.49</v>
          </cell>
        </row>
        <row r="120">
          <cell r="C120">
            <v>1.43</v>
          </cell>
        </row>
        <row r="121">
          <cell r="C121">
            <v>1.48</v>
          </cell>
        </row>
        <row r="122">
          <cell r="C122">
            <v>1.49</v>
          </cell>
        </row>
        <row r="123">
          <cell r="C123">
            <v>1.53</v>
          </cell>
        </row>
        <row r="124">
          <cell r="C124">
            <v>1.55</v>
          </cell>
        </row>
        <row r="125">
          <cell r="C125">
            <v>1.49</v>
          </cell>
        </row>
        <row r="126">
          <cell r="C126">
            <v>1.5</v>
          </cell>
        </row>
        <row r="127">
          <cell r="C127">
            <v>1.49</v>
          </cell>
        </row>
        <row r="128">
          <cell r="C128">
            <v>1.48</v>
          </cell>
        </row>
        <row r="129">
          <cell r="C129">
            <v>1.51</v>
          </cell>
        </row>
        <row r="130">
          <cell r="C130">
            <v>1.48</v>
          </cell>
        </row>
        <row r="131">
          <cell r="C131">
            <v>1.49</v>
          </cell>
        </row>
        <row r="132">
          <cell r="C132">
            <v>1.42</v>
          </cell>
        </row>
        <row r="133">
          <cell r="C133">
            <v>1.43</v>
          </cell>
        </row>
        <row r="134">
          <cell r="C134">
            <v>1.48</v>
          </cell>
        </row>
        <row r="135">
          <cell r="C135">
            <v>1.51</v>
          </cell>
        </row>
        <row r="136">
          <cell r="C136">
            <v>1.51</v>
          </cell>
        </row>
        <row r="137">
          <cell r="C137">
            <v>1.51</v>
          </cell>
        </row>
        <row r="138">
          <cell r="C138">
            <v>1.49</v>
          </cell>
        </row>
        <row r="139">
          <cell r="C139">
            <v>1.48</v>
          </cell>
        </row>
        <row r="140">
          <cell r="C140">
            <v>1.49</v>
          </cell>
        </row>
        <row r="141">
          <cell r="C141">
            <v>1.55</v>
          </cell>
        </row>
        <row r="142">
          <cell r="C142">
            <v>1.6</v>
          </cell>
        </row>
        <row r="143">
          <cell r="C143">
            <v>1.6</v>
          </cell>
        </row>
        <row r="144">
          <cell r="C144">
            <v>1.64</v>
          </cell>
        </row>
        <row r="145">
          <cell r="C145">
            <v>1.69</v>
          </cell>
        </row>
        <row r="146">
          <cell r="C146">
            <v>1.7</v>
          </cell>
        </row>
        <row r="147">
          <cell r="C147">
            <v>1.67</v>
          </cell>
        </row>
        <row r="148">
          <cell r="C148">
            <v>1.66</v>
          </cell>
        </row>
        <row r="149">
          <cell r="C149">
            <v>1.65</v>
          </cell>
        </row>
        <row r="150">
          <cell r="C150">
            <v>1.58</v>
          </cell>
        </row>
        <row r="151">
          <cell r="C151">
            <v>1.54</v>
          </cell>
        </row>
        <row r="152">
          <cell r="C152">
            <v>1.55</v>
          </cell>
        </row>
        <row r="153">
          <cell r="C153">
            <v>1.55</v>
          </cell>
        </row>
        <row r="154">
          <cell r="C154">
            <v>1.55</v>
          </cell>
        </row>
        <row r="155">
          <cell r="C155">
            <v>1.51</v>
          </cell>
        </row>
        <row r="156">
          <cell r="C156">
            <v>1.54</v>
          </cell>
        </row>
        <row r="157">
          <cell r="C157">
            <v>1.53</v>
          </cell>
        </row>
        <row r="158">
          <cell r="C158">
            <v>1.53</v>
          </cell>
        </row>
        <row r="159">
          <cell r="C159">
            <v>1.53</v>
          </cell>
        </row>
        <row r="160">
          <cell r="C160">
            <v>1.55</v>
          </cell>
        </row>
        <row r="161">
          <cell r="C161">
            <v>1.58</v>
          </cell>
        </row>
        <row r="162">
          <cell r="C162">
            <v>1.67</v>
          </cell>
        </row>
        <row r="163">
          <cell r="C163">
            <v>1.78</v>
          </cell>
        </row>
        <row r="164">
          <cell r="C164">
            <v>1.88</v>
          </cell>
        </row>
        <row r="165">
          <cell r="C165">
            <v>1.94</v>
          </cell>
        </row>
        <row r="166">
          <cell r="C166">
            <v>1.93</v>
          </cell>
        </row>
        <row r="167">
          <cell r="C167">
            <v>1.94</v>
          </cell>
        </row>
        <row r="168">
          <cell r="C168">
            <v>2</v>
          </cell>
        </row>
        <row r="169">
          <cell r="C169">
            <v>2.0699999999999998</v>
          </cell>
        </row>
        <row r="170">
          <cell r="C170">
            <v>2.0499999999999998</v>
          </cell>
        </row>
        <row r="171">
          <cell r="C171">
            <v>2.0499999999999998</v>
          </cell>
        </row>
        <row r="172">
          <cell r="C172">
            <v>1.96</v>
          </cell>
        </row>
        <row r="173">
          <cell r="C173">
            <v>1.87</v>
          </cell>
        </row>
        <row r="174">
          <cell r="C174">
            <v>1.87</v>
          </cell>
        </row>
        <row r="175">
          <cell r="C175">
            <v>1.87</v>
          </cell>
        </row>
        <row r="176">
          <cell r="C176">
            <v>1.86</v>
          </cell>
        </row>
        <row r="177">
          <cell r="C177">
            <v>1.79</v>
          </cell>
        </row>
        <row r="178">
          <cell r="C178">
            <v>1.75</v>
          </cell>
        </row>
        <row r="179">
          <cell r="C179">
            <v>1.73</v>
          </cell>
        </row>
        <row r="180">
          <cell r="C180">
            <v>1.72</v>
          </cell>
        </row>
        <row r="181">
          <cell r="C181">
            <v>1.67</v>
          </cell>
        </row>
        <row r="182">
          <cell r="C182">
            <v>1.63</v>
          </cell>
        </row>
        <row r="183">
          <cell r="C183">
            <v>1.6</v>
          </cell>
        </row>
        <row r="184">
          <cell r="C184">
            <v>1.55</v>
          </cell>
        </row>
        <row r="185">
          <cell r="C185">
            <v>1.5</v>
          </cell>
        </row>
        <row r="186">
          <cell r="C186">
            <v>1.46</v>
          </cell>
        </row>
        <row r="187">
          <cell r="C187">
            <v>1.44</v>
          </cell>
        </row>
        <row r="188">
          <cell r="C188">
            <v>1.45</v>
          </cell>
        </row>
        <row r="189">
          <cell r="C189">
            <v>1.43</v>
          </cell>
        </row>
        <row r="190">
          <cell r="C190">
            <v>1.43</v>
          </cell>
        </row>
        <row r="191">
          <cell r="C191">
            <v>1.45</v>
          </cell>
        </row>
        <row r="192">
          <cell r="C192">
            <v>1.47</v>
          </cell>
        </row>
        <row r="193">
          <cell r="C193">
            <v>1.51</v>
          </cell>
        </row>
        <row r="194">
          <cell r="C194">
            <v>1.52</v>
          </cell>
        </row>
        <row r="195">
          <cell r="C195">
            <v>1.52</v>
          </cell>
        </row>
        <row r="196">
          <cell r="C196">
            <v>1.52</v>
          </cell>
        </row>
        <row r="197">
          <cell r="C197">
            <v>1.53</v>
          </cell>
        </row>
        <row r="198">
          <cell r="C198">
            <v>1.51</v>
          </cell>
        </row>
        <row r="199">
          <cell r="C199">
            <v>1.53</v>
          </cell>
        </row>
        <row r="200">
          <cell r="C200">
            <v>1.5</v>
          </cell>
        </row>
        <row r="201">
          <cell r="C201">
            <v>1.47</v>
          </cell>
        </row>
        <row r="202">
          <cell r="C202">
            <v>1.51</v>
          </cell>
        </row>
        <row r="203">
          <cell r="C203">
            <v>1.53</v>
          </cell>
        </row>
        <row r="204">
          <cell r="C204">
            <v>1.53</v>
          </cell>
        </row>
        <row r="205">
          <cell r="C205">
            <v>1.56</v>
          </cell>
        </row>
        <row r="206">
          <cell r="C206">
            <v>1.65</v>
          </cell>
        </row>
        <row r="207">
          <cell r="C207">
            <v>1.7</v>
          </cell>
        </row>
        <row r="208">
          <cell r="C208">
            <v>1.8</v>
          </cell>
        </row>
        <row r="209">
          <cell r="C209">
            <v>1.87</v>
          </cell>
        </row>
        <row r="210">
          <cell r="C210">
            <v>1.88</v>
          </cell>
        </row>
        <row r="211">
          <cell r="C211">
            <v>1.97</v>
          </cell>
        </row>
        <row r="212">
          <cell r="C212">
            <v>2.12</v>
          </cell>
        </row>
        <row r="213">
          <cell r="C213">
            <v>2.14</v>
          </cell>
        </row>
        <row r="214">
          <cell r="C214">
            <v>1.99</v>
          </cell>
        </row>
        <row r="215">
          <cell r="C215">
            <v>2</v>
          </cell>
        </row>
        <row r="216">
          <cell r="C216">
            <v>2.21</v>
          </cell>
        </row>
        <row r="217">
          <cell r="C217">
            <v>2.2799999999999998</v>
          </cell>
        </row>
      </sheetData>
      <sheetData sheetId="14">
        <row r="35">
          <cell r="I35">
            <v>1</v>
          </cell>
          <cell r="J35">
            <v>0</v>
          </cell>
          <cell r="K35">
            <v>0</v>
          </cell>
          <cell r="L35">
            <v>0</v>
          </cell>
          <cell r="M35">
            <v>0</v>
          </cell>
        </row>
        <row r="36">
          <cell r="I36">
            <v>0.93049781121296304</v>
          </cell>
          <cell r="J36">
            <v>1</v>
          </cell>
          <cell r="K36">
            <v>0</v>
          </cell>
          <cell r="L36">
            <v>0</v>
          </cell>
          <cell r="M36">
            <v>0</v>
          </cell>
        </row>
        <row r="37">
          <cell r="I37">
            <v>0.56170819926578019</v>
          </cell>
          <cell r="J37">
            <v>0.50200322934870656</v>
          </cell>
          <cell r="K37">
            <v>1</v>
          </cell>
          <cell r="L37">
            <v>0</v>
          </cell>
          <cell r="M37">
            <v>0</v>
          </cell>
        </row>
        <row r="38">
          <cell r="I38">
            <v>0.84601349080809596</v>
          </cell>
          <cell r="J38">
            <v>0.87879688798848232</v>
          </cell>
          <cell r="K38">
            <v>0.25207629681829885</v>
          </cell>
          <cell r="L38">
            <v>1</v>
          </cell>
          <cell r="M38">
            <v>0</v>
          </cell>
        </row>
        <row r="39">
          <cell r="I39">
            <v>0.35962314107283733</v>
          </cell>
          <cell r="J39">
            <v>0.27593574107441371</v>
          </cell>
          <cell r="K39">
            <v>0.87546856682079555</v>
          </cell>
          <cell r="L39">
            <v>4.4390482671541477E-2</v>
          </cell>
          <cell r="M39">
            <v>1</v>
          </cell>
        </row>
      </sheetData>
      <sheetData sheetId="15"/>
      <sheetData sheetId="16"/>
      <sheetData sheetId="17">
        <row r="1">
          <cell r="A1" t="str">
            <v>Name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_@RISKFitInformation"/>
      <sheetName val="KEY FIGURES"/>
      <sheetName val="rsklibSimData"/>
      <sheetName val="NPV Case"/>
      <sheetName val="Revenues"/>
      <sheetName val="Expenses"/>
      <sheetName val="Costs"/>
      <sheetName val="Scale"/>
      <sheetName val="Transport"/>
      <sheetName val="PPE Basis"/>
      <sheetName val="Depreciation"/>
      <sheetName val="Financing"/>
      <sheetName val="Prices"/>
      <sheetName val="Conversion"/>
      <sheetName val="EtOH Ex"/>
      <sheetName val="RiskSwappedFuncs"/>
    </sheetNames>
    <sheetDataSet>
      <sheetData sheetId="0"/>
      <sheetData sheetId="1"/>
      <sheetData sheetId="2">
        <row r="20">
          <cell r="C20" t="str">
            <v>Base WACC</v>
          </cell>
        </row>
        <row r="21">
          <cell r="C21" t="str">
            <v>Tax WACC</v>
          </cell>
        </row>
      </sheetData>
      <sheetData sheetId="3"/>
      <sheetData sheetId="4"/>
      <sheetData sheetId="5"/>
      <sheetData sheetId="6"/>
      <sheetData sheetId="7"/>
      <sheetData sheetId="8"/>
      <sheetData sheetId="9"/>
      <sheetData sheetId="10"/>
      <sheetData sheetId="11"/>
      <sheetData sheetId="12"/>
      <sheetData sheetId="13">
        <row r="39">
          <cell r="O39">
            <v>1</v>
          </cell>
          <cell r="P39">
            <v>0</v>
          </cell>
          <cell r="Q39">
            <v>0</v>
          </cell>
          <cell r="R39">
            <v>0</v>
          </cell>
          <cell r="S39">
            <v>0</v>
          </cell>
        </row>
        <row r="40">
          <cell r="O40">
            <v>0.65400000000000003</v>
          </cell>
          <cell r="P40">
            <v>1</v>
          </cell>
          <cell r="Q40">
            <v>0</v>
          </cell>
          <cell r="R40">
            <v>0</v>
          </cell>
          <cell r="S40">
            <v>0</v>
          </cell>
        </row>
        <row r="41">
          <cell r="O41">
            <v>0.86</v>
          </cell>
          <cell r="P41">
            <v>0.57399999999999995</v>
          </cell>
          <cell r="Q41">
            <v>1</v>
          </cell>
          <cell r="R41">
            <v>0</v>
          </cell>
          <cell r="S41">
            <v>0</v>
          </cell>
        </row>
        <row r="42">
          <cell r="O42">
            <v>0.89600000000000002</v>
          </cell>
          <cell r="P42">
            <v>0.66900000000000004</v>
          </cell>
          <cell r="Q42">
            <v>0.90600000000000003</v>
          </cell>
          <cell r="R42">
            <v>1</v>
          </cell>
          <cell r="S42">
            <v>0</v>
          </cell>
        </row>
        <row r="43">
          <cell r="O43">
            <v>0.73399999999999999</v>
          </cell>
          <cell r="P43">
            <v>0.71299999999999997</v>
          </cell>
          <cell r="Q43">
            <v>0.73299999999999998</v>
          </cell>
          <cell r="R43">
            <v>0.81799999999999995</v>
          </cell>
          <cell r="S43">
            <v>1</v>
          </cell>
        </row>
        <row r="46">
          <cell r="O46">
            <v>1</v>
          </cell>
          <cell r="P46">
            <v>0</v>
          </cell>
          <cell r="Q46">
            <v>0</v>
          </cell>
          <cell r="R46">
            <v>0</v>
          </cell>
          <cell r="S46">
            <v>0</v>
          </cell>
        </row>
        <row r="47">
          <cell r="O47">
            <v>0.65400000000000003</v>
          </cell>
          <cell r="P47">
            <v>1</v>
          </cell>
          <cell r="Q47">
            <v>0</v>
          </cell>
          <cell r="R47">
            <v>0</v>
          </cell>
          <cell r="S47">
            <v>0</v>
          </cell>
        </row>
        <row r="48">
          <cell r="O48">
            <v>0.86</v>
          </cell>
          <cell r="P48">
            <v>0.57399999999999995</v>
          </cell>
          <cell r="Q48">
            <v>1</v>
          </cell>
          <cell r="R48">
            <v>0</v>
          </cell>
          <cell r="S48">
            <v>0</v>
          </cell>
        </row>
        <row r="49">
          <cell r="O49">
            <v>0.89600000000000002</v>
          </cell>
          <cell r="P49">
            <v>0.66900000000000004</v>
          </cell>
          <cell r="Q49">
            <v>0.90600000000000003</v>
          </cell>
          <cell r="R49">
            <v>1</v>
          </cell>
          <cell r="S49">
            <v>0</v>
          </cell>
        </row>
        <row r="50">
          <cell r="O50">
            <v>0.73399999999999999</v>
          </cell>
          <cell r="P50">
            <v>0.71299999999999997</v>
          </cell>
          <cell r="Q50">
            <v>0.73299999999999998</v>
          </cell>
          <cell r="R50">
            <v>0.81799999999999995</v>
          </cell>
          <cell r="S50">
            <v>1</v>
          </cell>
        </row>
        <row r="53">
          <cell r="O53">
            <v>1</v>
          </cell>
          <cell r="P53">
            <v>0</v>
          </cell>
          <cell r="Q53">
            <v>0</v>
          </cell>
          <cell r="R53">
            <v>0</v>
          </cell>
          <cell r="S53">
            <v>0</v>
          </cell>
        </row>
        <row r="54">
          <cell r="O54">
            <v>0.65400000000000003</v>
          </cell>
          <cell r="P54">
            <v>1</v>
          </cell>
          <cell r="Q54">
            <v>0</v>
          </cell>
          <cell r="R54">
            <v>0</v>
          </cell>
          <cell r="S54">
            <v>0</v>
          </cell>
        </row>
        <row r="55">
          <cell r="O55">
            <v>0.86</v>
          </cell>
          <cell r="P55">
            <v>0.57399999999999995</v>
          </cell>
          <cell r="Q55">
            <v>1</v>
          </cell>
          <cell r="R55">
            <v>0</v>
          </cell>
          <cell r="S55">
            <v>0</v>
          </cell>
        </row>
        <row r="56">
          <cell r="O56">
            <v>0.89600000000000002</v>
          </cell>
          <cell r="P56">
            <v>0.66900000000000004</v>
          </cell>
          <cell r="Q56">
            <v>0.90600000000000003</v>
          </cell>
          <cell r="R56">
            <v>1</v>
          </cell>
          <cell r="S56">
            <v>0</v>
          </cell>
        </row>
        <row r="57">
          <cell r="O57">
            <v>0.73399999999999999</v>
          </cell>
          <cell r="P57">
            <v>0.71299999999999997</v>
          </cell>
          <cell r="Q57">
            <v>0.73299999999999998</v>
          </cell>
          <cell r="R57">
            <v>0.81799999999999995</v>
          </cell>
          <cell r="S57">
            <v>1</v>
          </cell>
        </row>
        <row r="60">
          <cell r="O60">
            <v>1</v>
          </cell>
          <cell r="P60">
            <v>0</v>
          </cell>
          <cell r="Q60">
            <v>0</v>
          </cell>
          <cell r="R60">
            <v>0</v>
          </cell>
          <cell r="S60">
            <v>0</v>
          </cell>
        </row>
        <row r="61">
          <cell r="O61">
            <v>0.65400000000000003</v>
          </cell>
          <cell r="P61">
            <v>1</v>
          </cell>
          <cell r="Q61">
            <v>0</v>
          </cell>
          <cell r="R61">
            <v>0</v>
          </cell>
          <cell r="S61">
            <v>0</v>
          </cell>
        </row>
        <row r="62">
          <cell r="O62">
            <v>0.86</v>
          </cell>
          <cell r="P62">
            <v>0.57399999999999995</v>
          </cell>
          <cell r="Q62">
            <v>1</v>
          </cell>
          <cell r="R62">
            <v>0</v>
          </cell>
          <cell r="S62">
            <v>0</v>
          </cell>
        </row>
        <row r="63">
          <cell r="O63">
            <v>0.89600000000000002</v>
          </cell>
          <cell r="P63">
            <v>0.66900000000000004</v>
          </cell>
          <cell r="Q63">
            <v>0.90600000000000003</v>
          </cell>
          <cell r="R63">
            <v>1</v>
          </cell>
          <cell r="S63">
            <v>0</v>
          </cell>
        </row>
        <row r="64">
          <cell r="O64">
            <v>0.73399999999999999</v>
          </cell>
          <cell r="P64">
            <v>0.71299999999999997</v>
          </cell>
          <cell r="Q64">
            <v>0.73299999999999998</v>
          </cell>
          <cell r="R64">
            <v>0.81799999999999995</v>
          </cell>
          <cell r="S64">
            <v>1</v>
          </cell>
        </row>
        <row r="67">
          <cell r="O67">
            <v>1</v>
          </cell>
          <cell r="P67">
            <v>0</v>
          </cell>
          <cell r="Q67">
            <v>0</v>
          </cell>
          <cell r="R67">
            <v>0</v>
          </cell>
          <cell r="S67">
            <v>0</v>
          </cell>
        </row>
        <row r="68">
          <cell r="O68">
            <v>0.65400000000000003</v>
          </cell>
          <cell r="P68">
            <v>1</v>
          </cell>
          <cell r="Q68">
            <v>0</v>
          </cell>
          <cell r="R68">
            <v>0</v>
          </cell>
          <cell r="S68">
            <v>0</v>
          </cell>
        </row>
        <row r="69">
          <cell r="O69">
            <v>0.86</v>
          </cell>
          <cell r="P69">
            <v>0.57399999999999995</v>
          </cell>
          <cell r="Q69">
            <v>1</v>
          </cell>
          <cell r="R69">
            <v>0</v>
          </cell>
          <cell r="S69">
            <v>0</v>
          </cell>
        </row>
        <row r="70">
          <cell r="O70">
            <v>0.89600000000000002</v>
          </cell>
          <cell r="P70">
            <v>0.66900000000000004</v>
          </cell>
          <cell r="Q70">
            <v>0.90600000000000003</v>
          </cell>
          <cell r="R70">
            <v>1</v>
          </cell>
          <cell r="S70">
            <v>0</v>
          </cell>
        </row>
        <row r="71">
          <cell r="O71">
            <v>0.73399999999999999</v>
          </cell>
          <cell r="P71">
            <v>0.71299999999999997</v>
          </cell>
          <cell r="Q71">
            <v>0.73299999999999998</v>
          </cell>
          <cell r="R71">
            <v>0.81799999999999995</v>
          </cell>
          <cell r="S71">
            <v>1</v>
          </cell>
        </row>
        <row r="74">
          <cell r="O74">
            <v>1</v>
          </cell>
          <cell r="P74">
            <v>0</v>
          </cell>
          <cell r="Q74">
            <v>0</v>
          </cell>
          <cell r="R74">
            <v>0</v>
          </cell>
          <cell r="S74">
            <v>0</v>
          </cell>
        </row>
        <row r="75">
          <cell r="O75">
            <v>0.65400000000000003</v>
          </cell>
          <cell r="P75">
            <v>1</v>
          </cell>
          <cell r="Q75">
            <v>0</v>
          </cell>
          <cell r="R75">
            <v>0</v>
          </cell>
          <cell r="S75">
            <v>0</v>
          </cell>
        </row>
        <row r="76">
          <cell r="O76">
            <v>0.86</v>
          </cell>
          <cell r="P76">
            <v>0.57399999999999995</v>
          </cell>
          <cell r="Q76">
            <v>1</v>
          </cell>
          <cell r="R76">
            <v>0</v>
          </cell>
          <cell r="S76">
            <v>0</v>
          </cell>
        </row>
        <row r="77">
          <cell r="O77">
            <v>0.89600000000000002</v>
          </cell>
          <cell r="P77">
            <v>0.66900000000000004</v>
          </cell>
          <cell r="Q77">
            <v>0.90600000000000003</v>
          </cell>
          <cell r="R77">
            <v>1</v>
          </cell>
          <cell r="S77">
            <v>0</v>
          </cell>
        </row>
        <row r="78">
          <cell r="O78">
            <v>0.73399999999999999</v>
          </cell>
          <cell r="P78">
            <v>0.71299999999999997</v>
          </cell>
          <cell r="Q78">
            <v>0.73299999999999998</v>
          </cell>
          <cell r="R78">
            <v>0.81799999999999995</v>
          </cell>
          <cell r="S78">
            <v>1</v>
          </cell>
        </row>
        <row r="81">
          <cell r="O81">
            <v>1</v>
          </cell>
          <cell r="P81">
            <v>0</v>
          </cell>
          <cell r="Q81">
            <v>0</v>
          </cell>
          <cell r="R81">
            <v>0</v>
          </cell>
          <cell r="S81">
            <v>0</v>
          </cell>
        </row>
        <row r="82">
          <cell r="O82">
            <v>0.65400000000000003</v>
          </cell>
          <cell r="P82">
            <v>1</v>
          </cell>
          <cell r="Q82">
            <v>0</v>
          </cell>
          <cell r="R82">
            <v>0</v>
          </cell>
          <cell r="S82">
            <v>0</v>
          </cell>
        </row>
        <row r="83">
          <cell r="O83">
            <v>0.86</v>
          </cell>
          <cell r="P83">
            <v>0.57399999999999995</v>
          </cell>
          <cell r="Q83">
            <v>1</v>
          </cell>
          <cell r="R83">
            <v>0</v>
          </cell>
          <cell r="S83">
            <v>0</v>
          </cell>
        </row>
        <row r="84">
          <cell r="O84">
            <v>0.89600000000000002</v>
          </cell>
          <cell r="P84">
            <v>0.66900000000000004</v>
          </cell>
          <cell r="Q84">
            <v>0.90600000000000003</v>
          </cell>
          <cell r="R84">
            <v>1</v>
          </cell>
          <cell r="S84">
            <v>0</v>
          </cell>
        </row>
        <row r="85">
          <cell r="O85">
            <v>0.73399999999999999</v>
          </cell>
          <cell r="P85">
            <v>0.71299999999999997</v>
          </cell>
          <cell r="Q85">
            <v>0.73299999999999998</v>
          </cell>
          <cell r="R85">
            <v>0.81799999999999995</v>
          </cell>
          <cell r="S85">
            <v>1</v>
          </cell>
        </row>
        <row r="88">
          <cell r="O88">
            <v>1</v>
          </cell>
          <cell r="P88">
            <v>0</v>
          </cell>
          <cell r="Q88">
            <v>0</v>
          </cell>
          <cell r="R88">
            <v>0</v>
          </cell>
          <cell r="S88">
            <v>0</v>
          </cell>
        </row>
        <row r="89">
          <cell r="O89">
            <v>0.65400000000000003</v>
          </cell>
          <cell r="P89">
            <v>1</v>
          </cell>
          <cell r="Q89">
            <v>0</v>
          </cell>
          <cell r="R89">
            <v>0</v>
          </cell>
          <cell r="S89">
            <v>0</v>
          </cell>
        </row>
        <row r="90">
          <cell r="O90">
            <v>0.86</v>
          </cell>
          <cell r="P90">
            <v>0.57399999999999995</v>
          </cell>
          <cell r="Q90">
            <v>1</v>
          </cell>
          <cell r="R90">
            <v>0</v>
          </cell>
          <cell r="S90">
            <v>0</v>
          </cell>
        </row>
        <row r="91">
          <cell r="O91">
            <v>0.89600000000000002</v>
          </cell>
          <cell r="P91">
            <v>0.66900000000000004</v>
          </cell>
          <cell r="Q91">
            <v>0.90600000000000003</v>
          </cell>
          <cell r="R91">
            <v>1</v>
          </cell>
          <cell r="S91">
            <v>0</v>
          </cell>
        </row>
        <row r="92">
          <cell r="O92">
            <v>0.73399999999999999</v>
          </cell>
          <cell r="P92">
            <v>0.71299999999999997</v>
          </cell>
          <cell r="Q92">
            <v>0.73299999999999998</v>
          </cell>
          <cell r="R92">
            <v>0.81799999999999995</v>
          </cell>
          <cell r="S92">
            <v>1</v>
          </cell>
        </row>
        <row r="95">
          <cell r="O95">
            <v>1</v>
          </cell>
          <cell r="P95">
            <v>0</v>
          </cell>
          <cell r="Q95">
            <v>0</v>
          </cell>
          <cell r="R95">
            <v>0</v>
          </cell>
          <cell r="S95">
            <v>0</v>
          </cell>
        </row>
        <row r="96">
          <cell r="O96">
            <v>0.65400000000000003</v>
          </cell>
          <cell r="P96">
            <v>1</v>
          </cell>
          <cell r="Q96">
            <v>0</v>
          </cell>
          <cell r="R96">
            <v>0</v>
          </cell>
          <cell r="S96">
            <v>0</v>
          </cell>
        </row>
        <row r="97">
          <cell r="O97">
            <v>0.86</v>
          </cell>
          <cell r="P97">
            <v>0.57399999999999995</v>
          </cell>
          <cell r="Q97">
            <v>1</v>
          </cell>
          <cell r="R97">
            <v>0</v>
          </cell>
          <cell r="S97">
            <v>0</v>
          </cell>
        </row>
        <row r="98">
          <cell r="O98">
            <v>0.89600000000000002</v>
          </cell>
          <cell r="P98">
            <v>0.66900000000000004</v>
          </cell>
          <cell r="Q98">
            <v>0.90600000000000003</v>
          </cell>
          <cell r="R98">
            <v>1</v>
          </cell>
          <cell r="S98">
            <v>0</v>
          </cell>
        </row>
        <row r="99">
          <cell r="O99">
            <v>0.73399999999999999</v>
          </cell>
          <cell r="P99">
            <v>0.71299999999999997</v>
          </cell>
          <cell r="Q99">
            <v>0.73299999999999998</v>
          </cell>
          <cell r="R99">
            <v>0.81799999999999995</v>
          </cell>
          <cell r="S99">
            <v>1</v>
          </cell>
        </row>
        <row r="102">
          <cell r="O102">
            <v>1</v>
          </cell>
          <cell r="P102">
            <v>0</v>
          </cell>
          <cell r="Q102">
            <v>0</v>
          </cell>
          <cell r="R102">
            <v>0</v>
          </cell>
          <cell r="S102">
            <v>0</v>
          </cell>
        </row>
        <row r="103">
          <cell r="O103">
            <v>0.65400000000000003</v>
          </cell>
          <cell r="P103">
            <v>1</v>
          </cell>
          <cell r="Q103">
            <v>0</v>
          </cell>
          <cell r="R103">
            <v>0</v>
          </cell>
          <cell r="S103">
            <v>0</v>
          </cell>
        </row>
        <row r="104">
          <cell r="O104">
            <v>0.86</v>
          </cell>
          <cell r="P104">
            <v>0.57399999999999995</v>
          </cell>
          <cell r="Q104">
            <v>1</v>
          </cell>
          <cell r="R104">
            <v>0</v>
          </cell>
          <cell r="S104">
            <v>0</v>
          </cell>
        </row>
        <row r="105">
          <cell r="O105">
            <v>0.89600000000000002</v>
          </cell>
          <cell r="P105">
            <v>0.66900000000000004</v>
          </cell>
          <cell r="Q105">
            <v>0.90600000000000003</v>
          </cell>
          <cell r="R105">
            <v>1</v>
          </cell>
          <cell r="S105">
            <v>0</v>
          </cell>
        </row>
        <row r="106">
          <cell r="O106">
            <v>0.73399999999999999</v>
          </cell>
          <cell r="P106">
            <v>0.71299999999999997</v>
          </cell>
          <cell r="Q106">
            <v>0.73299999999999998</v>
          </cell>
          <cell r="R106">
            <v>0.81799999999999995</v>
          </cell>
          <cell r="S106">
            <v>1</v>
          </cell>
        </row>
        <row r="109">
          <cell r="O109">
            <v>1</v>
          </cell>
          <cell r="P109">
            <v>0</v>
          </cell>
          <cell r="Q109">
            <v>0</v>
          </cell>
          <cell r="R109">
            <v>0</v>
          </cell>
          <cell r="S109">
            <v>0</v>
          </cell>
        </row>
        <row r="110">
          <cell r="O110">
            <v>0.65400000000000003</v>
          </cell>
          <cell r="P110">
            <v>1</v>
          </cell>
          <cell r="Q110">
            <v>0</v>
          </cell>
          <cell r="R110">
            <v>0</v>
          </cell>
          <cell r="S110">
            <v>0</v>
          </cell>
        </row>
        <row r="111">
          <cell r="O111">
            <v>0.86</v>
          </cell>
          <cell r="P111">
            <v>0.57399999999999995</v>
          </cell>
          <cell r="Q111">
            <v>1</v>
          </cell>
          <cell r="R111">
            <v>0</v>
          </cell>
          <cell r="S111">
            <v>0</v>
          </cell>
        </row>
        <row r="112">
          <cell r="O112">
            <v>0.89600000000000002</v>
          </cell>
          <cell r="P112">
            <v>0.66900000000000004</v>
          </cell>
          <cell r="Q112">
            <v>0.90600000000000003</v>
          </cell>
          <cell r="R112">
            <v>1</v>
          </cell>
          <cell r="S112">
            <v>0</v>
          </cell>
        </row>
        <row r="113">
          <cell r="O113">
            <v>0.73399999999999999</v>
          </cell>
          <cell r="P113">
            <v>0.71299999999999997</v>
          </cell>
          <cell r="Q113">
            <v>0.73299999999999998</v>
          </cell>
          <cell r="R113">
            <v>0.81799999999999995</v>
          </cell>
          <cell r="S113">
            <v>1</v>
          </cell>
        </row>
        <row r="116">
          <cell r="O116">
            <v>1</v>
          </cell>
          <cell r="P116">
            <v>0</v>
          </cell>
          <cell r="Q116">
            <v>0</v>
          </cell>
          <cell r="R116">
            <v>0</v>
          </cell>
          <cell r="S116">
            <v>0</v>
          </cell>
        </row>
        <row r="117">
          <cell r="O117">
            <v>0.65400000000000003</v>
          </cell>
          <cell r="P117">
            <v>1</v>
          </cell>
          <cell r="Q117">
            <v>0</v>
          </cell>
          <cell r="R117">
            <v>0</v>
          </cell>
          <cell r="S117">
            <v>0</v>
          </cell>
        </row>
        <row r="118">
          <cell r="O118">
            <v>0.86</v>
          </cell>
          <cell r="P118">
            <v>0.57399999999999995</v>
          </cell>
          <cell r="Q118">
            <v>1</v>
          </cell>
          <cell r="R118">
            <v>0</v>
          </cell>
          <cell r="S118">
            <v>0</v>
          </cell>
        </row>
        <row r="119">
          <cell r="O119">
            <v>0.89600000000000002</v>
          </cell>
          <cell r="P119">
            <v>0.66900000000000004</v>
          </cell>
          <cell r="Q119">
            <v>0.90600000000000003</v>
          </cell>
          <cell r="R119">
            <v>1</v>
          </cell>
          <cell r="S119">
            <v>0</v>
          </cell>
        </row>
        <row r="120">
          <cell r="O120">
            <v>0.73399999999999999</v>
          </cell>
          <cell r="P120">
            <v>0.71299999999999997</v>
          </cell>
          <cell r="Q120">
            <v>0.73299999999999998</v>
          </cell>
          <cell r="R120">
            <v>0.81799999999999995</v>
          </cell>
          <cell r="S120">
            <v>1</v>
          </cell>
        </row>
      </sheetData>
      <sheetData sheetId="14">
        <row r="76">
          <cell r="A76" t="str">
            <v>1] DSM Basis</v>
          </cell>
          <cell r="E76">
            <v>0.1</v>
          </cell>
          <cell r="F76">
            <v>0.01</v>
          </cell>
          <cell r="G76">
            <v>0</v>
          </cell>
          <cell r="H76">
            <v>0</v>
          </cell>
        </row>
        <row r="77">
          <cell r="A77" t="str">
            <v>2] UO Basis</v>
          </cell>
          <cell r="E77">
            <v>0.2</v>
          </cell>
          <cell r="F77">
            <v>1.4999999999999999E-2</v>
          </cell>
          <cell r="G77">
            <v>1</v>
          </cell>
          <cell r="H77">
            <v>0.1</v>
          </cell>
        </row>
        <row r="78">
          <cell r="E78">
            <v>0.3</v>
          </cell>
          <cell r="F78">
            <v>0.02</v>
          </cell>
          <cell r="G78">
            <v>2</v>
          </cell>
          <cell r="H78">
            <v>0.2</v>
          </cell>
        </row>
        <row r="79">
          <cell r="E79">
            <v>0.4</v>
          </cell>
          <cell r="F79">
            <v>2.5000000000000001E-2</v>
          </cell>
          <cell r="G79">
            <v>3</v>
          </cell>
          <cell r="H79">
            <v>0.25</v>
          </cell>
        </row>
        <row r="80">
          <cell r="E80">
            <v>0.5</v>
          </cell>
          <cell r="F80">
            <v>0.03</v>
          </cell>
          <cell r="G80">
            <v>4</v>
          </cell>
          <cell r="H80">
            <v>0.3</v>
          </cell>
        </row>
        <row r="81">
          <cell r="E81">
            <v>0.6</v>
          </cell>
          <cell r="F81">
            <v>3.5000000000000003E-2</v>
          </cell>
          <cell r="G81">
            <v>5</v>
          </cell>
          <cell r="H81">
            <v>0.31</v>
          </cell>
        </row>
        <row r="82">
          <cell r="A82" t="str">
            <v>1] Base</v>
          </cell>
          <cell r="E82">
            <v>0.7</v>
          </cell>
          <cell r="F82">
            <v>0.04</v>
          </cell>
          <cell r="G82">
            <v>6</v>
          </cell>
          <cell r="H82">
            <v>0.32</v>
          </cell>
        </row>
        <row r="83">
          <cell r="A83" t="str">
            <v>2] Optimistic</v>
          </cell>
          <cell r="E83">
            <v>0.8</v>
          </cell>
          <cell r="F83">
            <v>4.4999999999999998E-2</v>
          </cell>
          <cell r="G83">
            <v>7</v>
          </cell>
          <cell r="H83">
            <v>0.33</v>
          </cell>
        </row>
        <row r="84">
          <cell r="A84" t="str">
            <v>3] Pessimistic</v>
          </cell>
          <cell r="E84">
            <v>0.9</v>
          </cell>
          <cell r="F84">
            <v>0.05</v>
          </cell>
          <cell r="G84">
            <v>8</v>
          </cell>
          <cell r="H84">
            <v>0.34</v>
          </cell>
        </row>
        <row r="85">
          <cell r="A85" t="str">
            <v>4] Historic</v>
          </cell>
          <cell r="E85">
            <v>1</v>
          </cell>
          <cell r="F85">
            <v>5.5E-2</v>
          </cell>
          <cell r="G85">
            <v>9</v>
          </cell>
          <cell r="H85">
            <v>0.35</v>
          </cell>
        </row>
        <row r="86">
          <cell r="A86">
            <v>0</v>
          </cell>
          <cell r="F86">
            <v>0.06</v>
          </cell>
          <cell r="H86">
            <v>0.36</v>
          </cell>
        </row>
        <row r="87">
          <cell r="F87">
            <v>6.5000000000000002E-2</v>
          </cell>
          <cell r="H87">
            <v>0.37</v>
          </cell>
        </row>
        <row r="88">
          <cell r="F88">
            <v>7.0000000000000007E-2</v>
          </cell>
          <cell r="H88">
            <v>0.38</v>
          </cell>
        </row>
        <row r="89">
          <cell r="F89">
            <v>7.4999999999999997E-2</v>
          </cell>
          <cell r="H89">
            <v>0.39</v>
          </cell>
        </row>
        <row r="90">
          <cell r="F90">
            <v>0.08</v>
          </cell>
          <cell r="H90">
            <v>0.4</v>
          </cell>
        </row>
        <row r="91">
          <cell r="F91">
            <v>8.5000000000000006E-2</v>
          </cell>
        </row>
        <row r="92">
          <cell r="F92">
            <v>0.09</v>
          </cell>
        </row>
        <row r="93">
          <cell r="F93">
            <v>9.5000000000000001E-2</v>
          </cell>
        </row>
        <row r="94">
          <cell r="F94">
            <v>0.1</v>
          </cell>
        </row>
        <row r="95">
          <cell r="F95">
            <v>0.105</v>
          </cell>
        </row>
        <row r="96">
          <cell r="F96">
            <v>0.11</v>
          </cell>
        </row>
        <row r="97">
          <cell r="F97">
            <v>0.115</v>
          </cell>
        </row>
        <row r="98">
          <cell r="F98">
            <v>0.12</v>
          </cell>
        </row>
        <row r="101">
          <cell r="A101" t="str">
            <v>1] Base</v>
          </cell>
        </row>
        <row r="102">
          <cell r="A102" t="str">
            <v>2] High</v>
          </cell>
        </row>
        <row r="103">
          <cell r="A103" t="str">
            <v>3] Low</v>
          </cell>
        </row>
      </sheetData>
      <sheetData sheetId="15"/>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RISKFitInformation"/>
      <sheetName val="0.1-CEtOH"/>
      <sheetName val="0.2-E_Market"/>
      <sheetName val="0.3-Y&amp;E_Market"/>
      <sheetName val="1.1-Y"/>
      <sheetName val="1.2-E"/>
      <sheetName val="1.3-Y&amp;E"/>
      <sheetName val="2.1-Y"/>
      <sheetName val="2.2-E"/>
      <sheetName val="2.3-Y&amp;E"/>
      <sheetName val="3.1-Partner"/>
      <sheetName val="3.2-Own"/>
      <sheetName val="4.1-Y"/>
      <sheetName val="4.2-E"/>
      <sheetName val="4.3-Y&amp;E"/>
      <sheetName val="Figures"/>
      <sheetName val="Variables"/>
      <sheetName val="Prices"/>
      <sheetName val="Compare"/>
      <sheetName val="Costs"/>
      <sheetName val="treeCalc_1"/>
      <sheetName val="Decision_Tree"/>
      <sheetName val="Decision2"/>
      <sheetName val="0.0.W1_Full"/>
      <sheetName val="0.1.W1_Full_Hedged"/>
      <sheetName val="1.0.Hybrid_Full"/>
      <sheetName val="RiskSerializationData"/>
      <sheetName val="rsklibSimData"/>
      <sheetName val="1.2.Hybrid_Full_Hedged"/>
      <sheetName val="2.0.Hybrid_Financed_Hedged"/>
      <sheetName val="Historical_Prices"/>
      <sheetName val="Correlation"/>
      <sheetName val="Econometric"/>
      <sheetName val="treeCalc_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row r="1">
          <cell r="A1" t="str">
            <v xml:space="preserve">date </v>
          </cell>
        </row>
        <row r="35">
          <cell r="I35">
            <v>1</v>
          </cell>
          <cell r="J35">
            <v>0</v>
          </cell>
          <cell r="K35">
            <v>0</v>
          </cell>
          <cell r="L35">
            <v>0</v>
          </cell>
          <cell r="M35">
            <v>0</v>
          </cell>
        </row>
        <row r="36">
          <cell r="I36">
            <v>0.93049781121296304</v>
          </cell>
          <cell r="J36">
            <v>1</v>
          </cell>
          <cell r="K36">
            <v>0</v>
          </cell>
          <cell r="L36">
            <v>0</v>
          </cell>
          <cell r="M36">
            <v>0</v>
          </cell>
        </row>
        <row r="37">
          <cell r="I37">
            <v>0.56170819926578019</v>
          </cell>
          <cell r="J37">
            <v>0.50200322934870656</v>
          </cell>
          <cell r="K37">
            <v>1</v>
          </cell>
          <cell r="L37">
            <v>0</v>
          </cell>
          <cell r="M37">
            <v>0</v>
          </cell>
        </row>
        <row r="38">
          <cell r="I38">
            <v>0.84601349080809596</v>
          </cell>
          <cell r="J38">
            <v>0.87879688798848232</v>
          </cell>
          <cell r="K38">
            <v>0.25207629681829885</v>
          </cell>
          <cell r="L38">
            <v>1</v>
          </cell>
          <cell r="M38">
            <v>0</v>
          </cell>
        </row>
        <row r="39">
          <cell r="I39">
            <v>0.35962314107283733</v>
          </cell>
          <cell r="J39">
            <v>0.27593574107441371</v>
          </cell>
          <cell r="K39">
            <v>0.87546856682079555</v>
          </cell>
          <cell r="L39">
            <v>4.4390482671541477E-2</v>
          </cell>
          <cell r="M39">
            <v>1</v>
          </cell>
        </row>
      </sheetData>
      <sheetData sheetId="32" refreshError="1"/>
      <sheetData sheetId="3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ssump Tech Lic"/>
      <sheetName val="Option 1 Tech Lic"/>
      <sheetName val="Assump Yeast Leader"/>
      <sheetName val="Option 2 Yeast Leader "/>
      <sheetName val="Assump Conv Techn OSM&amp;Lic"/>
      <sheetName val="Option 3 Conv Techn OS&amp;Lic"/>
      <sheetName val="Assump Integr Conv Techn"/>
      <sheetName val="Option 4 Integr Conv Techn"/>
      <sheetName val="DG2E demo"/>
      <sheetName val="CS2E demo"/>
      <sheetName val="CS2E"/>
      <sheetName val="Total market"/>
      <sheetName val="Biochemical market"/>
      <sheetName val="OSM Enzymes"/>
      <sheetName val="R&amp;D"/>
    </sheetNames>
    <sheetDataSet>
      <sheetData sheetId="0"/>
      <sheetData sheetId="1"/>
      <sheetData sheetId="2"/>
      <sheetData sheetId="3"/>
      <sheetData sheetId="4"/>
      <sheetData sheetId="5">
        <row r="3">
          <cell r="B3">
            <v>1.35</v>
          </cell>
        </row>
      </sheetData>
      <sheetData sheetId="6">
        <row r="42">
          <cell r="C42">
            <v>25.05</v>
          </cell>
        </row>
      </sheetData>
      <sheetData sheetId="7">
        <row r="101">
          <cell r="C101">
            <v>0.5</v>
          </cell>
        </row>
      </sheetData>
      <sheetData sheetId="8">
        <row r="42">
          <cell r="C42">
            <v>38.429444444444442</v>
          </cell>
        </row>
      </sheetData>
      <sheetData sheetId="9">
        <row r="6">
          <cell r="D6">
            <v>5.1869999999999994</v>
          </cell>
        </row>
      </sheetData>
      <sheetData sheetId="10">
        <row r="6">
          <cell r="D6">
            <v>30.9375</v>
          </cell>
        </row>
      </sheetData>
      <sheetData sheetId="11"/>
      <sheetData sheetId="12"/>
      <sheetData sheetId="13">
        <row r="97">
          <cell r="E97">
            <v>0</v>
          </cell>
        </row>
      </sheetData>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_@RISKFitInformation"/>
      <sheetName val="KEY FIGURES"/>
      <sheetName val="rsklibSimData"/>
      <sheetName val="NPV Case"/>
      <sheetName val="Revenues"/>
      <sheetName val="Expenses"/>
      <sheetName val="Costs"/>
      <sheetName val="Scale"/>
      <sheetName val="Transport"/>
      <sheetName val="PPE Basis"/>
      <sheetName val="Depreciation"/>
      <sheetName val="Financing"/>
      <sheetName val="Prices"/>
      <sheetName val="Conversion"/>
      <sheetName val="EtOH Ex"/>
    </sheetNames>
    <sheetDataSet>
      <sheetData sheetId="0"/>
      <sheetData sheetId="1"/>
      <sheetData sheetId="2">
        <row r="20">
          <cell r="C20" t="str">
            <v>Base WACC</v>
          </cell>
        </row>
        <row r="21">
          <cell r="C21" t="str">
            <v>Tax WACC</v>
          </cell>
        </row>
      </sheetData>
      <sheetData sheetId="3"/>
      <sheetData sheetId="4"/>
      <sheetData sheetId="5"/>
      <sheetData sheetId="6"/>
      <sheetData sheetId="7"/>
      <sheetData sheetId="8">
        <row r="16">
          <cell r="B16">
            <v>10</v>
          </cell>
        </row>
        <row r="17">
          <cell r="B17">
            <v>15</v>
          </cell>
        </row>
        <row r="18">
          <cell r="B18">
            <v>20</v>
          </cell>
        </row>
        <row r="19">
          <cell r="B19">
            <v>25</v>
          </cell>
        </row>
        <row r="20">
          <cell r="B20">
            <v>30</v>
          </cell>
        </row>
        <row r="21">
          <cell r="B21">
            <v>35</v>
          </cell>
        </row>
        <row r="22">
          <cell r="B22">
            <v>40</v>
          </cell>
        </row>
        <row r="23">
          <cell r="B23">
            <v>45</v>
          </cell>
        </row>
        <row r="24">
          <cell r="B24">
            <v>50</v>
          </cell>
        </row>
        <row r="25">
          <cell r="B25">
            <v>55</v>
          </cell>
        </row>
        <row r="26">
          <cell r="B26">
            <v>60</v>
          </cell>
        </row>
        <row r="27">
          <cell r="B27">
            <v>65</v>
          </cell>
        </row>
        <row r="28">
          <cell r="B28">
            <v>70</v>
          </cell>
        </row>
        <row r="29">
          <cell r="B29">
            <v>75</v>
          </cell>
        </row>
        <row r="30">
          <cell r="B30">
            <v>80</v>
          </cell>
        </row>
        <row r="31">
          <cell r="B31">
            <v>85</v>
          </cell>
        </row>
        <row r="32">
          <cell r="B32">
            <v>90</v>
          </cell>
        </row>
        <row r="33">
          <cell r="B33">
            <v>95</v>
          </cell>
        </row>
        <row r="34">
          <cell r="B34">
            <v>100</v>
          </cell>
        </row>
        <row r="35">
          <cell r="B35">
            <v>105</v>
          </cell>
        </row>
        <row r="36">
          <cell r="B36">
            <v>110</v>
          </cell>
        </row>
        <row r="37">
          <cell r="B37">
            <v>115</v>
          </cell>
        </row>
        <row r="38">
          <cell r="B38">
            <v>120</v>
          </cell>
        </row>
        <row r="39">
          <cell r="B39">
            <v>125</v>
          </cell>
        </row>
        <row r="40">
          <cell r="B40">
            <v>130</v>
          </cell>
        </row>
        <row r="41">
          <cell r="B41">
            <v>135</v>
          </cell>
        </row>
        <row r="42">
          <cell r="B42">
            <v>140</v>
          </cell>
        </row>
        <row r="43">
          <cell r="B43">
            <v>145</v>
          </cell>
        </row>
        <row r="44">
          <cell r="B44">
            <v>150</v>
          </cell>
        </row>
        <row r="45">
          <cell r="B45">
            <v>155</v>
          </cell>
        </row>
        <row r="46">
          <cell r="B46">
            <v>160</v>
          </cell>
        </row>
        <row r="47">
          <cell r="B47">
            <v>165</v>
          </cell>
        </row>
        <row r="48">
          <cell r="B48">
            <v>170</v>
          </cell>
        </row>
        <row r="49">
          <cell r="B49">
            <v>175</v>
          </cell>
        </row>
        <row r="50">
          <cell r="B50">
            <v>180</v>
          </cell>
        </row>
        <row r="51">
          <cell r="B51">
            <v>185</v>
          </cell>
        </row>
        <row r="52">
          <cell r="B52">
            <v>190</v>
          </cell>
        </row>
        <row r="53">
          <cell r="B53">
            <v>195</v>
          </cell>
        </row>
        <row r="54">
          <cell r="B54">
            <v>200</v>
          </cell>
        </row>
      </sheetData>
      <sheetData sheetId="9"/>
      <sheetData sheetId="10"/>
      <sheetData sheetId="11"/>
      <sheetData sheetId="12"/>
      <sheetData sheetId="13">
        <row r="39">
          <cell r="O39">
            <v>1</v>
          </cell>
          <cell r="P39">
            <v>0</v>
          </cell>
          <cell r="Q39">
            <v>0</v>
          </cell>
          <cell r="R39">
            <v>0</v>
          </cell>
          <cell r="S39">
            <v>0</v>
          </cell>
        </row>
        <row r="40">
          <cell r="O40">
            <v>0.65400000000000003</v>
          </cell>
          <cell r="P40">
            <v>1</v>
          </cell>
          <cell r="Q40">
            <v>0</v>
          </cell>
          <cell r="R40">
            <v>0</v>
          </cell>
          <cell r="S40">
            <v>0</v>
          </cell>
        </row>
        <row r="41">
          <cell r="O41">
            <v>0.86</v>
          </cell>
          <cell r="P41">
            <v>0.57399999999999995</v>
          </cell>
          <cell r="Q41">
            <v>1</v>
          </cell>
          <cell r="R41">
            <v>0</v>
          </cell>
          <cell r="S41">
            <v>0</v>
          </cell>
        </row>
        <row r="42">
          <cell r="O42">
            <v>0.89600000000000002</v>
          </cell>
          <cell r="P42">
            <v>0.66900000000000004</v>
          </cell>
          <cell r="Q42">
            <v>0.90600000000000003</v>
          </cell>
          <cell r="R42">
            <v>1</v>
          </cell>
          <cell r="S42">
            <v>0</v>
          </cell>
        </row>
        <row r="43">
          <cell r="O43">
            <v>0.73399999999999999</v>
          </cell>
          <cell r="P43">
            <v>0.71299999999999997</v>
          </cell>
          <cell r="Q43">
            <v>0.73299999999999998</v>
          </cell>
          <cell r="R43">
            <v>0.81799999999999995</v>
          </cell>
          <cell r="S43">
            <v>1</v>
          </cell>
        </row>
        <row r="46">
          <cell r="O46">
            <v>1</v>
          </cell>
          <cell r="P46">
            <v>0</v>
          </cell>
          <cell r="Q46">
            <v>0</v>
          </cell>
          <cell r="R46">
            <v>0</v>
          </cell>
          <cell r="S46">
            <v>0</v>
          </cell>
        </row>
        <row r="47">
          <cell r="O47">
            <v>0.65400000000000003</v>
          </cell>
          <cell r="P47">
            <v>1</v>
          </cell>
          <cell r="Q47">
            <v>0</v>
          </cell>
          <cell r="R47">
            <v>0</v>
          </cell>
          <cell r="S47">
            <v>0</v>
          </cell>
        </row>
        <row r="48">
          <cell r="O48">
            <v>0.86</v>
          </cell>
          <cell r="P48">
            <v>0.57399999999999995</v>
          </cell>
          <cell r="Q48">
            <v>1</v>
          </cell>
          <cell r="R48">
            <v>0</v>
          </cell>
          <cell r="S48">
            <v>0</v>
          </cell>
        </row>
        <row r="49">
          <cell r="O49">
            <v>0.89600000000000002</v>
          </cell>
          <cell r="P49">
            <v>0.66900000000000004</v>
          </cell>
          <cell r="Q49">
            <v>0.90600000000000003</v>
          </cell>
          <cell r="R49">
            <v>1</v>
          </cell>
          <cell r="S49">
            <v>0</v>
          </cell>
        </row>
        <row r="50">
          <cell r="O50">
            <v>0.73399999999999999</v>
          </cell>
          <cell r="P50">
            <v>0.71299999999999997</v>
          </cell>
          <cell r="Q50">
            <v>0.73299999999999998</v>
          </cell>
          <cell r="R50">
            <v>0.81799999999999995</v>
          </cell>
          <cell r="S50">
            <v>1</v>
          </cell>
        </row>
        <row r="53">
          <cell r="O53">
            <v>1</v>
          </cell>
          <cell r="P53">
            <v>0</v>
          </cell>
          <cell r="Q53">
            <v>0</v>
          </cell>
          <cell r="R53">
            <v>0</v>
          </cell>
          <cell r="S53">
            <v>0</v>
          </cell>
        </row>
        <row r="54">
          <cell r="O54">
            <v>0.65400000000000003</v>
          </cell>
          <cell r="P54">
            <v>1</v>
          </cell>
          <cell r="Q54">
            <v>0</v>
          </cell>
          <cell r="R54">
            <v>0</v>
          </cell>
          <cell r="S54">
            <v>0</v>
          </cell>
        </row>
        <row r="55">
          <cell r="O55">
            <v>0.86</v>
          </cell>
          <cell r="P55">
            <v>0.57399999999999995</v>
          </cell>
          <cell r="Q55">
            <v>1</v>
          </cell>
          <cell r="R55">
            <v>0</v>
          </cell>
          <cell r="S55">
            <v>0</v>
          </cell>
        </row>
        <row r="56">
          <cell r="O56">
            <v>0.89600000000000002</v>
          </cell>
          <cell r="P56">
            <v>0.66900000000000004</v>
          </cell>
          <cell r="Q56">
            <v>0.90600000000000003</v>
          </cell>
          <cell r="R56">
            <v>1</v>
          </cell>
          <cell r="S56">
            <v>0</v>
          </cell>
        </row>
        <row r="57">
          <cell r="O57">
            <v>0.73399999999999999</v>
          </cell>
          <cell r="P57">
            <v>0.71299999999999997</v>
          </cell>
          <cell r="Q57">
            <v>0.73299999999999998</v>
          </cell>
          <cell r="R57">
            <v>0.81799999999999995</v>
          </cell>
          <cell r="S57">
            <v>1</v>
          </cell>
        </row>
        <row r="60">
          <cell r="O60">
            <v>1</v>
          </cell>
          <cell r="P60">
            <v>0</v>
          </cell>
          <cell r="Q60">
            <v>0</v>
          </cell>
          <cell r="R60">
            <v>0</v>
          </cell>
          <cell r="S60">
            <v>0</v>
          </cell>
        </row>
        <row r="61">
          <cell r="O61">
            <v>0.65400000000000003</v>
          </cell>
          <cell r="P61">
            <v>1</v>
          </cell>
          <cell r="Q61">
            <v>0</v>
          </cell>
          <cell r="R61">
            <v>0</v>
          </cell>
          <cell r="S61">
            <v>0</v>
          </cell>
        </row>
        <row r="62">
          <cell r="O62">
            <v>0.86</v>
          </cell>
          <cell r="P62">
            <v>0.57399999999999995</v>
          </cell>
          <cell r="Q62">
            <v>1</v>
          </cell>
          <cell r="R62">
            <v>0</v>
          </cell>
          <cell r="S62">
            <v>0</v>
          </cell>
        </row>
        <row r="63">
          <cell r="O63">
            <v>0.89600000000000002</v>
          </cell>
          <cell r="P63">
            <v>0.66900000000000004</v>
          </cell>
          <cell r="Q63">
            <v>0.90600000000000003</v>
          </cell>
          <cell r="R63">
            <v>1</v>
          </cell>
          <cell r="S63">
            <v>0</v>
          </cell>
        </row>
        <row r="64">
          <cell r="O64">
            <v>0.73399999999999999</v>
          </cell>
          <cell r="P64">
            <v>0.71299999999999997</v>
          </cell>
          <cell r="Q64">
            <v>0.73299999999999998</v>
          </cell>
          <cell r="R64">
            <v>0.81799999999999995</v>
          </cell>
          <cell r="S64">
            <v>1</v>
          </cell>
        </row>
        <row r="67">
          <cell r="O67">
            <v>1</v>
          </cell>
          <cell r="P67">
            <v>0</v>
          </cell>
          <cell r="Q67">
            <v>0</v>
          </cell>
          <cell r="R67">
            <v>0</v>
          </cell>
          <cell r="S67">
            <v>0</v>
          </cell>
        </row>
        <row r="68">
          <cell r="O68">
            <v>0.65400000000000003</v>
          </cell>
          <cell r="P68">
            <v>1</v>
          </cell>
          <cell r="Q68">
            <v>0</v>
          </cell>
          <cell r="R68">
            <v>0</v>
          </cell>
          <cell r="S68">
            <v>0</v>
          </cell>
        </row>
        <row r="69">
          <cell r="O69">
            <v>0.86</v>
          </cell>
          <cell r="P69">
            <v>0.57399999999999995</v>
          </cell>
          <cell r="Q69">
            <v>1</v>
          </cell>
          <cell r="R69">
            <v>0</v>
          </cell>
          <cell r="S69">
            <v>0</v>
          </cell>
        </row>
        <row r="70">
          <cell r="O70">
            <v>0.89600000000000002</v>
          </cell>
          <cell r="P70">
            <v>0.66900000000000004</v>
          </cell>
          <cell r="Q70">
            <v>0.90600000000000003</v>
          </cell>
          <cell r="R70">
            <v>1</v>
          </cell>
          <cell r="S70">
            <v>0</v>
          </cell>
        </row>
        <row r="71">
          <cell r="O71">
            <v>0.73399999999999999</v>
          </cell>
          <cell r="P71">
            <v>0.71299999999999997</v>
          </cell>
          <cell r="Q71">
            <v>0.73299999999999998</v>
          </cell>
          <cell r="R71">
            <v>0.81799999999999995</v>
          </cell>
          <cell r="S71">
            <v>1</v>
          </cell>
        </row>
        <row r="74">
          <cell r="O74">
            <v>1</v>
          </cell>
          <cell r="P74">
            <v>0</v>
          </cell>
          <cell r="Q74">
            <v>0</v>
          </cell>
          <cell r="R74">
            <v>0</v>
          </cell>
          <cell r="S74">
            <v>0</v>
          </cell>
        </row>
        <row r="75">
          <cell r="O75">
            <v>0.65400000000000003</v>
          </cell>
          <cell r="P75">
            <v>1</v>
          </cell>
          <cell r="Q75">
            <v>0</v>
          </cell>
          <cell r="R75">
            <v>0</v>
          </cell>
          <cell r="S75">
            <v>0</v>
          </cell>
        </row>
        <row r="76">
          <cell r="O76">
            <v>0.86</v>
          </cell>
          <cell r="P76">
            <v>0.57399999999999995</v>
          </cell>
          <cell r="Q76">
            <v>1</v>
          </cell>
          <cell r="R76">
            <v>0</v>
          </cell>
          <cell r="S76">
            <v>0</v>
          </cell>
        </row>
        <row r="77">
          <cell r="O77">
            <v>0.89600000000000002</v>
          </cell>
          <cell r="P77">
            <v>0.66900000000000004</v>
          </cell>
          <cell r="Q77">
            <v>0.90600000000000003</v>
          </cell>
          <cell r="R77">
            <v>1</v>
          </cell>
          <cell r="S77">
            <v>0</v>
          </cell>
        </row>
        <row r="78">
          <cell r="O78">
            <v>0.73399999999999999</v>
          </cell>
          <cell r="P78">
            <v>0.71299999999999997</v>
          </cell>
          <cell r="Q78">
            <v>0.73299999999999998</v>
          </cell>
          <cell r="R78">
            <v>0.81799999999999995</v>
          </cell>
          <cell r="S78">
            <v>1</v>
          </cell>
        </row>
        <row r="81">
          <cell r="O81">
            <v>1</v>
          </cell>
          <cell r="P81">
            <v>0</v>
          </cell>
          <cell r="Q81">
            <v>0</v>
          </cell>
          <cell r="R81">
            <v>0</v>
          </cell>
          <cell r="S81">
            <v>0</v>
          </cell>
        </row>
        <row r="82">
          <cell r="O82">
            <v>0.65400000000000003</v>
          </cell>
          <cell r="P82">
            <v>1</v>
          </cell>
          <cell r="Q82">
            <v>0</v>
          </cell>
          <cell r="R82">
            <v>0</v>
          </cell>
          <cell r="S82">
            <v>0</v>
          </cell>
        </row>
        <row r="83">
          <cell r="O83">
            <v>0.86</v>
          </cell>
          <cell r="P83">
            <v>0.57399999999999995</v>
          </cell>
          <cell r="Q83">
            <v>1</v>
          </cell>
          <cell r="R83">
            <v>0</v>
          </cell>
          <cell r="S83">
            <v>0</v>
          </cell>
        </row>
        <row r="84">
          <cell r="O84">
            <v>0.89600000000000002</v>
          </cell>
          <cell r="P84">
            <v>0.66900000000000004</v>
          </cell>
          <cell r="Q84">
            <v>0.90600000000000003</v>
          </cell>
          <cell r="R84">
            <v>1</v>
          </cell>
          <cell r="S84">
            <v>0</v>
          </cell>
        </row>
        <row r="85">
          <cell r="O85">
            <v>0.73399999999999999</v>
          </cell>
          <cell r="P85">
            <v>0.71299999999999997</v>
          </cell>
          <cell r="Q85">
            <v>0.73299999999999998</v>
          </cell>
          <cell r="R85">
            <v>0.81799999999999995</v>
          </cell>
          <cell r="S85">
            <v>1</v>
          </cell>
        </row>
        <row r="88">
          <cell r="O88">
            <v>1</v>
          </cell>
          <cell r="P88">
            <v>0</v>
          </cell>
          <cell r="Q88">
            <v>0</v>
          </cell>
          <cell r="R88">
            <v>0</v>
          </cell>
          <cell r="S88">
            <v>0</v>
          </cell>
        </row>
        <row r="89">
          <cell r="O89">
            <v>0.65400000000000003</v>
          </cell>
          <cell r="P89">
            <v>1</v>
          </cell>
          <cell r="Q89">
            <v>0</v>
          </cell>
          <cell r="R89">
            <v>0</v>
          </cell>
          <cell r="S89">
            <v>0</v>
          </cell>
        </row>
        <row r="90">
          <cell r="O90">
            <v>0.86</v>
          </cell>
          <cell r="P90">
            <v>0.57399999999999995</v>
          </cell>
          <cell r="Q90">
            <v>1</v>
          </cell>
          <cell r="R90">
            <v>0</v>
          </cell>
          <cell r="S90">
            <v>0</v>
          </cell>
        </row>
        <row r="91">
          <cell r="O91">
            <v>0.89600000000000002</v>
          </cell>
          <cell r="P91">
            <v>0.66900000000000004</v>
          </cell>
          <cell r="Q91">
            <v>0.90600000000000003</v>
          </cell>
          <cell r="R91">
            <v>1</v>
          </cell>
          <cell r="S91">
            <v>0</v>
          </cell>
        </row>
        <row r="92">
          <cell r="O92">
            <v>0.73399999999999999</v>
          </cell>
          <cell r="P92">
            <v>0.71299999999999997</v>
          </cell>
          <cell r="Q92">
            <v>0.73299999999999998</v>
          </cell>
          <cell r="R92">
            <v>0.81799999999999995</v>
          </cell>
          <cell r="S92">
            <v>1</v>
          </cell>
        </row>
        <row r="95">
          <cell r="O95">
            <v>1</v>
          </cell>
          <cell r="P95">
            <v>0</v>
          </cell>
          <cell r="Q95">
            <v>0</v>
          </cell>
          <cell r="R95">
            <v>0</v>
          </cell>
          <cell r="S95">
            <v>0</v>
          </cell>
        </row>
        <row r="96">
          <cell r="O96">
            <v>0.65400000000000003</v>
          </cell>
          <cell r="P96">
            <v>1</v>
          </cell>
          <cell r="Q96">
            <v>0</v>
          </cell>
          <cell r="R96">
            <v>0</v>
          </cell>
          <cell r="S96">
            <v>0</v>
          </cell>
        </row>
        <row r="97">
          <cell r="O97">
            <v>0.86</v>
          </cell>
          <cell r="P97">
            <v>0.57399999999999995</v>
          </cell>
          <cell r="Q97">
            <v>1</v>
          </cell>
          <cell r="R97">
            <v>0</v>
          </cell>
          <cell r="S97">
            <v>0</v>
          </cell>
        </row>
        <row r="98">
          <cell r="O98">
            <v>0.89600000000000002</v>
          </cell>
          <cell r="P98">
            <v>0.66900000000000004</v>
          </cell>
          <cell r="Q98">
            <v>0.90600000000000003</v>
          </cell>
          <cell r="R98">
            <v>1</v>
          </cell>
          <cell r="S98">
            <v>0</v>
          </cell>
        </row>
        <row r="99">
          <cell r="O99">
            <v>0.73399999999999999</v>
          </cell>
          <cell r="P99">
            <v>0.71299999999999997</v>
          </cell>
          <cell r="Q99">
            <v>0.73299999999999998</v>
          </cell>
          <cell r="R99">
            <v>0.81799999999999995</v>
          </cell>
          <cell r="S99">
            <v>1</v>
          </cell>
        </row>
        <row r="102">
          <cell r="O102">
            <v>1</v>
          </cell>
          <cell r="P102">
            <v>0</v>
          </cell>
          <cell r="Q102">
            <v>0</v>
          </cell>
          <cell r="R102">
            <v>0</v>
          </cell>
          <cell r="S102">
            <v>0</v>
          </cell>
        </row>
        <row r="103">
          <cell r="O103">
            <v>0.65400000000000003</v>
          </cell>
          <cell r="P103">
            <v>1</v>
          </cell>
          <cell r="Q103">
            <v>0</v>
          </cell>
          <cell r="R103">
            <v>0</v>
          </cell>
          <cell r="S103">
            <v>0</v>
          </cell>
        </row>
        <row r="104">
          <cell r="O104">
            <v>0.86</v>
          </cell>
          <cell r="P104">
            <v>0.57399999999999995</v>
          </cell>
          <cell r="Q104">
            <v>1</v>
          </cell>
          <cell r="R104">
            <v>0</v>
          </cell>
          <cell r="S104">
            <v>0</v>
          </cell>
        </row>
        <row r="105">
          <cell r="O105">
            <v>0.89600000000000002</v>
          </cell>
          <cell r="P105">
            <v>0.66900000000000004</v>
          </cell>
          <cell r="Q105">
            <v>0.90600000000000003</v>
          </cell>
          <cell r="R105">
            <v>1</v>
          </cell>
          <cell r="S105">
            <v>0</v>
          </cell>
        </row>
        <row r="106">
          <cell r="O106">
            <v>0.73399999999999999</v>
          </cell>
          <cell r="P106">
            <v>0.71299999999999997</v>
          </cell>
          <cell r="Q106">
            <v>0.73299999999999998</v>
          </cell>
          <cell r="R106">
            <v>0.81799999999999995</v>
          </cell>
          <cell r="S106">
            <v>1</v>
          </cell>
        </row>
        <row r="109">
          <cell r="O109">
            <v>1</v>
          </cell>
          <cell r="P109">
            <v>0</v>
          </cell>
          <cell r="Q109">
            <v>0</v>
          </cell>
          <cell r="R109">
            <v>0</v>
          </cell>
          <cell r="S109">
            <v>0</v>
          </cell>
        </row>
        <row r="110">
          <cell r="O110">
            <v>0.65400000000000003</v>
          </cell>
          <cell r="P110">
            <v>1</v>
          </cell>
          <cell r="Q110">
            <v>0</v>
          </cell>
          <cell r="R110">
            <v>0</v>
          </cell>
          <cell r="S110">
            <v>0</v>
          </cell>
        </row>
        <row r="111">
          <cell r="O111">
            <v>0.86</v>
          </cell>
          <cell r="P111">
            <v>0.57399999999999995</v>
          </cell>
          <cell r="Q111">
            <v>1</v>
          </cell>
          <cell r="R111">
            <v>0</v>
          </cell>
          <cell r="S111">
            <v>0</v>
          </cell>
        </row>
        <row r="112">
          <cell r="O112">
            <v>0.89600000000000002</v>
          </cell>
          <cell r="P112">
            <v>0.66900000000000004</v>
          </cell>
          <cell r="Q112">
            <v>0.90600000000000003</v>
          </cell>
          <cell r="R112">
            <v>1</v>
          </cell>
          <cell r="S112">
            <v>0</v>
          </cell>
        </row>
        <row r="113">
          <cell r="O113">
            <v>0.73399999999999999</v>
          </cell>
          <cell r="P113">
            <v>0.71299999999999997</v>
          </cell>
          <cell r="Q113">
            <v>0.73299999999999998</v>
          </cell>
          <cell r="R113">
            <v>0.81799999999999995</v>
          </cell>
          <cell r="S113">
            <v>1</v>
          </cell>
        </row>
        <row r="116">
          <cell r="O116">
            <v>1</v>
          </cell>
          <cell r="P116">
            <v>0</v>
          </cell>
          <cell r="Q116">
            <v>0</v>
          </cell>
          <cell r="R116">
            <v>0</v>
          </cell>
          <cell r="S116">
            <v>0</v>
          </cell>
        </row>
        <row r="117">
          <cell r="O117">
            <v>0.65400000000000003</v>
          </cell>
          <cell r="P117">
            <v>1</v>
          </cell>
          <cell r="Q117">
            <v>0</v>
          </cell>
          <cell r="R117">
            <v>0</v>
          </cell>
          <cell r="S117">
            <v>0</v>
          </cell>
        </row>
        <row r="118">
          <cell r="O118">
            <v>0.86</v>
          </cell>
          <cell r="P118">
            <v>0.57399999999999995</v>
          </cell>
          <cell r="Q118">
            <v>1</v>
          </cell>
          <cell r="R118">
            <v>0</v>
          </cell>
          <cell r="S118">
            <v>0</v>
          </cell>
        </row>
        <row r="119">
          <cell r="O119">
            <v>0.89600000000000002</v>
          </cell>
          <cell r="P119">
            <v>0.66900000000000004</v>
          </cell>
          <cell r="Q119">
            <v>0.90600000000000003</v>
          </cell>
          <cell r="R119">
            <v>1</v>
          </cell>
          <cell r="S119">
            <v>0</v>
          </cell>
        </row>
        <row r="120">
          <cell r="O120">
            <v>0.73399999999999999</v>
          </cell>
          <cell r="P120">
            <v>0.71299999999999997</v>
          </cell>
          <cell r="Q120">
            <v>0.73299999999999998</v>
          </cell>
          <cell r="R120">
            <v>0.81799999999999995</v>
          </cell>
          <cell r="S120">
            <v>1</v>
          </cell>
        </row>
      </sheetData>
      <sheetData sheetId="14"/>
      <sheetData sheetId="1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
      <sheetName val="Inputs"/>
      <sheetName val="Investments &amp; deprec"/>
      <sheetName val="Input W1.5 process"/>
      <sheetName val="Cellulase + C5 Yeast"/>
      <sheetName val="C5+6 Yeast only"/>
      <sheetName val="Evaluation (full case)"/>
      <sheetName val="Sensitivities (full case)"/>
      <sheetName val="Evaluation (DSM case)"/>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6">
          <cell r="B6">
            <v>1</v>
          </cell>
        </row>
      </sheetData>
      <sheetData sheetId="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
      <sheetName val="Inputs"/>
      <sheetName val="Investments &amp; deprec"/>
      <sheetName val="Input W1.5 process"/>
      <sheetName val="Cellulase + C5 Yeast"/>
      <sheetName val="C5+6 Yeast only"/>
      <sheetName val="Evaluation (full case)"/>
      <sheetName val="Sensitivities (full case)"/>
      <sheetName val="Evaluation (DSM case)"/>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6">
          <cell r="B6">
            <v>1</v>
          </cell>
        </row>
      </sheetData>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www.eia.gov/dnav/pet/hist/LeafHandler.ashx?n=PET&amp;s=WTOTUSA&amp;f=W" TargetMode="External"/><Relationship Id="rId2" Type="http://schemas.openxmlformats.org/officeDocument/2006/relationships/hyperlink" Target="http://www.eia.doe.gov/petroleum/data_publications/wrgp/mogas_history.html" TargetMode="External"/><Relationship Id="rId1" Type="http://schemas.openxmlformats.org/officeDocument/2006/relationships/hyperlink" Target="http://www.agmrc.org/renewable_energy/ethanol/ethanol__prices_trends_and_markets.cf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8000"/>
  </sheetPr>
  <dimension ref="A1:P70"/>
  <sheetViews>
    <sheetView tabSelected="1" zoomScale="80" zoomScaleNormal="80" workbookViewId="0">
      <selection activeCell="O3" sqref="O3"/>
    </sheetView>
  </sheetViews>
  <sheetFormatPr defaultColWidth="9.140625" defaultRowHeight="15" x14ac:dyDescent="0.25"/>
  <cols>
    <col min="1" max="1" width="4" style="125" customWidth="1"/>
    <col min="2" max="2" width="36" style="127" customWidth="1"/>
    <col min="3" max="3" width="18.42578125" style="127" customWidth="1"/>
    <col min="4" max="11" width="9.140625" style="127"/>
    <col min="12" max="12" width="10" style="127" customWidth="1"/>
    <col min="13" max="13" width="9.140625" style="127"/>
    <col min="14" max="14" width="3.42578125" style="127" customWidth="1"/>
    <col min="15" max="15" width="21.28515625" style="128" customWidth="1"/>
    <col min="16" max="16384" width="9.140625" style="127"/>
  </cols>
  <sheetData>
    <row r="1" spans="1:15" ht="18.75" thickTop="1" thickBot="1" x14ac:dyDescent="0.35">
      <c r="B1" s="124" t="s">
        <v>3</v>
      </c>
      <c r="C1" s="7"/>
      <c r="D1" s="7"/>
      <c r="E1" s="7"/>
      <c r="F1" s="7"/>
      <c r="G1" s="7"/>
      <c r="H1" s="7"/>
      <c r="I1" s="7"/>
      <c r="J1" s="7"/>
      <c r="K1" s="7"/>
      <c r="L1" s="7"/>
      <c r="M1" s="126"/>
    </row>
    <row r="2" spans="1:15" ht="8.25" customHeight="1" thickTop="1" thickBot="1" x14ac:dyDescent="0.3">
      <c r="C2" s="129">
        <v>0</v>
      </c>
      <c r="D2" s="129">
        <v>1</v>
      </c>
      <c r="E2" s="129">
        <f t="shared" ref="E2:N2" si="0">D2+1</f>
        <v>2</v>
      </c>
      <c r="F2" s="129">
        <f t="shared" si="0"/>
        <v>3</v>
      </c>
      <c r="G2" s="129">
        <f t="shared" si="0"/>
        <v>4</v>
      </c>
      <c r="H2" s="129">
        <f t="shared" si="0"/>
        <v>5</v>
      </c>
      <c r="I2" s="129">
        <f t="shared" si="0"/>
        <v>6</v>
      </c>
      <c r="J2" s="129">
        <f t="shared" si="0"/>
        <v>7</v>
      </c>
      <c r="K2" s="129">
        <f t="shared" si="0"/>
        <v>8</v>
      </c>
      <c r="L2" s="129">
        <f t="shared" si="0"/>
        <v>9</v>
      </c>
      <c r="M2" s="130">
        <f t="shared" si="0"/>
        <v>10</v>
      </c>
      <c r="N2" s="129">
        <f t="shared" si="0"/>
        <v>11</v>
      </c>
    </row>
    <row r="3" spans="1:15" s="137" customFormat="1" ht="16.5" thickTop="1" thickBot="1" x14ac:dyDescent="0.3">
      <c r="A3" s="131"/>
      <c r="B3" s="132"/>
      <c r="C3" s="133" t="str">
        <f t="shared" ref="C3:M3" si="1">"Year "&amp;C2</f>
        <v>Year 0</v>
      </c>
      <c r="D3" s="134" t="str">
        <f t="shared" si="1"/>
        <v>Year 1</v>
      </c>
      <c r="E3" s="134" t="str">
        <f t="shared" si="1"/>
        <v>Year 2</v>
      </c>
      <c r="F3" s="134" t="str">
        <f t="shared" si="1"/>
        <v>Year 3</v>
      </c>
      <c r="G3" s="134" t="str">
        <f t="shared" si="1"/>
        <v>Year 4</v>
      </c>
      <c r="H3" s="135" t="str">
        <f t="shared" si="1"/>
        <v>Year 5</v>
      </c>
      <c r="I3" s="135" t="str">
        <f t="shared" si="1"/>
        <v>Year 6</v>
      </c>
      <c r="J3" s="134" t="str">
        <f t="shared" si="1"/>
        <v>Year 7</v>
      </c>
      <c r="K3" s="134" t="str">
        <f t="shared" si="1"/>
        <v>Year 8</v>
      </c>
      <c r="L3" s="134" t="str">
        <f t="shared" si="1"/>
        <v>Year 9</v>
      </c>
      <c r="M3" s="136" t="str">
        <f t="shared" si="1"/>
        <v>Year 10</v>
      </c>
      <c r="N3" s="127"/>
    </row>
    <row r="4" spans="1:15" s="137" customFormat="1" ht="16.5" thickTop="1" thickBot="1" x14ac:dyDescent="0.3">
      <c r="A4" s="131"/>
      <c r="B4" s="138" t="s">
        <v>4</v>
      </c>
      <c r="C4" s="139">
        <f>C2</f>
        <v>0</v>
      </c>
      <c r="D4" s="140">
        <f t="shared" ref="D4:M4" si="2">D2</f>
        <v>1</v>
      </c>
      <c r="E4" s="141">
        <f t="shared" si="2"/>
        <v>2</v>
      </c>
      <c r="F4" s="141">
        <f t="shared" si="2"/>
        <v>3</v>
      </c>
      <c r="G4" s="141">
        <f t="shared" si="2"/>
        <v>4</v>
      </c>
      <c r="H4" s="141">
        <f t="shared" si="2"/>
        <v>5</v>
      </c>
      <c r="I4" s="141">
        <f t="shared" si="2"/>
        <v>6</v>
      </c>
      <c r="J4" s="141">
        <f t="shared" si="2"/>
        <v>7</v>
      </c>
      <c r="K4" s="141">
        <f t="shared" si="2"/>
        <v>8</v>
      </c>
      <c r="L4" s="141">
        <f t="shared" si="2"/>
        <v>9</v>
      </c>
      <c r="M4" s="141">
        <f t="shared" si="2"/>
        <v>10</v>
      </c>
      <c r="N4" s="127"/>
    </row>
    <row r="5" spans="1:15" s="137" customFormat="1" ht="16.5" thickTop="1" thickBot="1" x14ac:dyDescent="0.3">
      <c r="A5" s="131"/>
      <c r="B5" s="142" t="s">
        <v>5</v>
      </c>
      <c r="C5" s="143" t="s">
        <v>6</v>
      </c>
      <c r="D5" s="144"/>
      <c r="E5" s="145"/>
      <c r="F5" s="146"/>
      <c r="G5" s="146"/>
      <c r="H5" s="146"/>
      <c r="I5" s="146"/>
      <c r="J5" s="146"/>
      <c r="K5" s="146"/>
      <c r="L5" s="146"/>
      <c r="M5" s="146"/>
      <c r="N5" s="127"/>
    </row>
    <row r="6" spans="1:15" x14ac:dyDescent="0.25">
      <c r="B6" s="147" t="s">
        <v>6</v>
      </c>
      <c r="C6" s="148">
        <f>Historical_Prices!$D$219</f>
        <v>1.6822727272727271</v>
      </c>
      <c r="D6" s="149">
        <f ca="1">_xll.RiskLognorm($C$6, Historical_Prices!$D$218)</f>
        <v>1.5829561411709692</v>
      </c>
      <c r="E6" s="150">
        <f ca="1">_xll.RiskLognorm($C$6,Historical_Prices!$D$218)</f>
        <v>1.8410952339289013</v>
      </c>
      <c r="F6" s="150">
        <f ca="1">_xll.RiskLognorm($C$6,Historical_Prices!$D$218)</f>
        <v>1.6834136891740825</v>
      </c>
      <c r="G6" s="150">
        <f ca="1">_xll.RiskLognorm($C$6,Historical_Prices!$D$218)</f>
        <v>1.9248468430511485</v>
      </c>
      <c r="H6" s="150">
        <f ca="1">_xll.RiskLognorm($C$6,Historical_Prices!$D$218)</f>
        <v>1.493115339709878</v>
      </c>
      <c r="I6" s="150">
        <f ca="1">_xll.RiskLognorm($C$6,Historical_Prices!$D$218)</f>
        <v>1.5390751248039569</v>
      </c>
      <c r="J6" s="150">
        <f ca="1">_xll.RiskLognorm($C$6,Historical_Prices!$D$218)</f>
        <v>1.7400554543776086</v>
      </c>
      <c r="K6" s="150">
        <f ca="1">_xll.RiskLognorm($C$6,Historical_Prices!$D$218)</f>
        <v>1.0908568322776726</v>
      </c>
      <c r="L6" s="150">
        <f ca="1">_xll.RiskLognorm($C$6,Historical_Prices!$D$218)</f>
        <v>2.0590888912515104</v>
      </c>
      <c r="M6" s="151">
        <f ca="1">_xll.RiskOutput()+_xll.RiskLognorm($C$6,Historical_Prices!$D$218)</f>
        <v>1.0845834360332598</v>
      </c>
      <c r="O6" s="152" t="s">
        <v>7</v>
      </c>
    </row>
    <row r="7" spans="1:15" x14ac:dyDescent="0.25">
      <c r="B7" s="157" t="s">
        <v>8</v>
      </c>
      <c r="C7" s="158">
        <f>Historical_Prices!$D$219</f>
        <v>1.6822727272727271</v>
      </c>
      <c r="D7" s="159">
        <f ca="1">_xll.RiskLognorm(C7,Historical_Prices!$D$218)</f>
        <v>1.7968619873927911</v>
      </c>
      <c r="E7" s="160">
        <f ca="1">_xll.RiskLognorm(AVERAGE(C7:D7),Historical_Prices!$D$218)</f>
        <v>1.788883722815849</v>
      </c>
      <c r="F7" s="160">
        <f ca="1">_xll.RiskLognorm(AVERAGE(C7:E7),Historical_Prices!$D$218)</f>
        <v>1.6701569190556709</v>
      </c>
      <c r="G7" s="160">
        <f ca="1">_xll.RiskLognorm(AVERAGE(C7:F7),Historical_Prices!$D$218)</f>
        <v>1.9700217502763535</v>
      </c>
      <c r="H7" s="160">
        <f ca="1">_xll.RiskLognorm(AVERAGE(C7:G7),Historical_Prices!$D$218)</f>
        <v>1.6888333209328241</v>
      </c>
      <c r="I7" s="160">
        <f ca="1">_xll.RiskLognorm(AVERAGE(C7:H7),Historical_Prices!$D$218)</f>
        <v>2.0144709402393315</v>
      </c>
      <c r="J7" s="160">
        <f ca="1">_xll.RiskLognorm(AVERAGE(C7:I7),Historical_Prices!$D$218)</f>
        <v>1.5808898095484849</v>
      </c>
      <c r="K7" s="160">
        <f ca="1">_xll.RiskLognorm(AVERAGE(C7:J7),Historical_Prices!$D$218)</f>
        <v>1.6712743481189498</v>
      </c>
      <c r="L7" s="160">
        <f ca="1">_xll.RiskLognorm(AVERAGE(C7:K7),Historical_Prices!$D$218)</f>
        <v>1.5890476664565563</v>
      </c>
      <c r="M7" s="161">
        <f ca="1">_xll.RiskOutput()+_xll.RiskLognorm(AVERAGE(C7:L7),Historical_Prices!$D$218)</f>
        <v>1.8152663601640986</v>
      </c>
      <c r="O7" s="152" t="s">
        <v>9</v>
      </c>
    </row>
    <row r="8" spans="1:15" x14ac:dyDescent="0.25">
      <c r="B8" s="157" t="s">
        <v>91</v>
      </c>
      <c r="C8" s="158">
        <f>Historical_Prices!$D$219</f>
        <v>1.6822727272727271</v>
      </c>
      <c r="D8" s="159">
        <f ca="1">_xll.RiskGamma(31.854,0.05898,_xll.RiskName("EtOH Real Prices"))</f>
        <v>1.3712269800526131</v>
      </c>
      <c r="E8" s="160">
        <f ca="1">_xll.RiskGamma(31.854,0.05898,_xll.RiskName("EtOH Real Prices"))</f>
        <v>2.1290521955300097</v>
      </c>
      <c r="F8" s="160">
        <f ca="1">_xll.RiskGamma(31.854,0.05898,_xll.RiskName("EtOH Real Prices"))</f>
        <v>1.8536356321958187</v>
      </c>
      <c r="G8" s="160">
        <f ca="1">_xll.RiskGamma(31.854,0.05898,_xll.RiskName("EtOH Real Prices"))</f>
        <v>2.0145276359096433</v>
      </c>
      <c r="H8" s="160">
        <f ca="1">_xll.RiskGamma(31.854,0.05898,_xll.RiskName("EtOH Real Prices"))</f>
        <v>1.5066378301029406</v>
      </c>
      <c r="I8" s="160">
        <f ca="1">_xll.RiskGamma(31.854,0.05898,_xll.RiskName("EtOH Real Prices"))</f>
        <v>1.5062229128660027</v>
      </c>
      <c r="J8" s="160">
        <f ca="1">_xll.RiskGamma(31.854,0.05898,_xll.RiskName("EtOH Real Prices"))</f>
        <v>1.7393952074427923</v>
      </c>
      <c r="K8" s="160">
        <f ca="1">_xll.RiskGamma(31.854,0.05898,_xll.RiskName("EtOH Real Prices"))</f>
        <v>2.1320665997481556</v>
      </c>
      <c r="L8" s="160">
        <f ca="1">_xll.RiskGamma(31.854,0.05898,_xll.RiskName("EtOH Real Prices"))</f>
        <v>2.0182246603797998</v>
      </c>
      <c r="M8" s="163">
        <f ca="1">_xll.RiskOutput()+_xll.RiskGamma(31.854,0.05898,_xll.RiskName("EtOH Real Prices"))</f>
        <v>2.0052988920713584</v>
      </c>
      <c r="O8" s="152" t="s">
        <v>92</v>
      </c>
    </row>
    <row r="9" spans="1:15" x14ac:dyDescent="0.25">
      <c r="B9" s="153" t="s">
        <v>93</v>
      </c>
      <c r="C9" s="154">
        <f>Historical_Prices!$D$219</f>
        <v>1.6822727272727271</v>
      </c>
      <c r="D9" s="155">
        <f ca="1">$C$9 + ($C$9*(_xll.RiskLoglogistic(-0.20529,0.20681,10.257,_xll.RiskName("Ethanol_Price"))))</f>
        <v>1.7668988479423289</v>
      </c>
      <c r="E9" s="162">
        <f ca="1">$C$9 + ($C$9*(_xll.RiskLoglogistic(-0.20529,0.20681,10.257,_xll.RiskName("Ethanol_Price"))))</f>
        <v>1.6919706134503121</v>
      </c>
      <c r="F9" s="162">
        <f ca="1">$C$9 + ($C$9*(_xll.RiskLoglogistic(-0.20529,0.20681,10.257,_xll.RiskName("Ethanol_Price"))))</f>
        <v>1.6218871882929546</v>
      </c>
      <c r="G9" s="162">
        <f ca="1">$C$9 + ($C$9*(_xll.RiskLoglogistic(-0.20529,0.20681,10.257,_xll.RiskName("Ethanol_Price"))))</f>
        <v>1.6930773075626184</v>
      </c>
      <c r="H9" s="162">
        <f ca="1">$C$9 + ($C$9*(_xll.RiskLoglogistic(-0.20529,0.20681,10.257,_xll.RiskName("Ethanol_Price"))))</f>
        <v>1.7043472956011101</v>
      </c>
      <c r="I9" s="162">
        <f ca="1">$C$9 + ($C$9*(_xll.RiskLoglogistic(-0.20529,0.20681,10.257,_xll.RiskName("Ethanol_Price"))))</f>
        <v>1.7023337368794069</v>
      </c>
      <c r="J9" s="162">
        <f ca="1">$C$9 + ($C$9*(_xll.RiskLoglogistic(-0.20529,0.20681,10.257,_xll.RiskName("Ethanol_Price"))))</f>
        <v>1.6331751161168806</v>
      </c>
      <c r="K9" s="162">
        <f ca="1">$C$9 + ($C$9*(_xll.RiskLoglogistic(-0.20529,0.20681,10.257,_xll.RiskName("Ethanol_Price"))))</f>
        <v>1.727199284965621</v>
      </c>
      <c r="L9" s="156">
        <f ca="1">$C$9 + ($C$9*(_xll.RiskLoglogistic(-0.20529,0.20681,10.257,_xll.RiskName("Ethanol_Price"))))</f>
        <v>1.8228946286967511</v>
      </c>
      <c r="M9" s="163">
        <f ca="1">_xll.RiskOutput()+$C$9 + ($C$9*(_xll.RiskLoglogistic(-0.20529,0.20681,10.257,_xll.RiskName("Ethanol_Price"))))</f>
        <v>1.7245005121663408</v>
      </c>
      <c r="O9" s="152" t="s">
        <v>92</v>
      </c>
    </row>
    <row r="10" spans="1:15" x14ac:dyDescent="0.25">
      <c r="B10" s="157" t="s">
        <v>94</v>
      </c>
      <c r="C10" s="158">
        <f>Historical_Prices!$D$219</f>
        <v>1.6822727272727271</v>
      </c>
      <c r="D10" s="159">
        <f>C10</f>
        <v>1.6822727272727271</v>
      </c>
      <c r="E10" s="160">
        <f t="shared" ref="E10:M11" si="3">D10</f>
        <v>1.6822727272727271</v>
      </c>
      <c r="F10" s="160">
        <f t="shared" si="3"/>
        <v>1.6822727272727271</v>
      </c>
      <c r="G10" s="160">
        <f t="shared" si="3"/>
        <v>1.6822727272727271</v>
      </c>
      <c r="H10" s="160">
        <f t="shared" si="3"/>
        <v>1.6822727272727271</v>
      </c>
      <c r="I10" s="160">
        <f t="shared" si="3"/>
        <v>1.6822727272727271</v>
      </c>
      <c r="J10" s="160">
        <f t="shared" si="3"/>
        <v>1.6822727272727271</v>
      </c>
      <c r="K10" s="160">
        <f t="shared" si="3"/>
        <v>1.6822727272727271</v>
      </c>
      <c r="L10" s="160">
        <f t="shared" si="3"/>
        <v>1.6822727272727271</v>
      </c>
      <c r="M10" s="164">
        <f t="shared" si="3"/>
        <v>1.6822727272727271</v>
      </c>
      <c r="O10" s="152"/>
    </row>
    <row r="11" spans="1:15" ht="15.75" thickBot="1" x14ac:dyDescent="0.3">
      <c r="B11" s="165" t="s">
        <v>95</v>
      </c>
      <c r="C11" s="166">
        <f>Historical_Prices!$D$219</f>
        <v>1.6822727272727271</v>
      </c>
      <c r="D11" s="167">
        <f>C11</f>
        <v>1.6822727272727271</v>
      </c>
      <c r="E11" s="168">
        <f t="shared" si="3"/>
        <v>1.6822727272727271</v>
      </c>
      <c r="F11" s="168">
        <f t="shared" si="3"/>
        <v>1.6822727272727271</v>
      </c>
      <c r="G11" s="168">
        <f t="shared" si="3"/>
        <v>1.6822727272727271</v>
      </c>
      <c r="H11" s="168">
        <f t="shared" si="3"/>
        <v>1.6822727272727271</v>
      </c>
      <c r="I11" s="168">
        <f t="shared" si="3"/>
        <v>1.6822727272727271</v>
      </c>
      <c r="J11" s="168">
        <f t="shared" si="3"/>
        <v>1.6822727272727271</v>
      </c>
      <c r="K11" s="168">
        <f t="shared" si="3"/>
        <v>1.6822727272727271</v>
      </c>
      <c r="L11" s="168">
        <f t="shared" si="3"/>
        <v>1.6822727272727271</v>
      </c>
      <c r="M11" s="169">
        <f t="shared" si="3"/>
        <v>1.6822727272727271</v>
      </c>
      <c r="O11" s="152"/>
    </row>
    <row r="12" spans="1:15" ht="6" customHeight="1" thickBot="1" x14ac:dyDescent="0.3">
      <c r="B12" s="170"/>
      <c r="C12" s="171"/>
      <c r="D12" s="172"/>
      <c r="E12" s="173"/>
      <c r="F12" s="173"/>
      <c r="G12" s="173"/>
      <c r="H12" s="173"/>
      <c r="I12" s="173"/>
      <c r="J12" s="173"/>
      <c r="K12" s="173"/>
      <c r="L12" s="173"/>
      <c r="M12" s="173"/>
      <c r="O12" s="152"/>
    </row>
    <row r="13" spans="1:15" ht="16.5" customHeight="1" thickTop="1" thickBot="1" x14ac:dyDescent="0.3">
      <c r="B13" s="138" t="str">
        <f>"Gas (" &amp; Historical_Prices!I3 &amp; ")"</f>
        <v>Gas (Gas (Regular US Retail $/gal))</v>
      </c>
      <c r="C13" s="139">
        <f>C2</f>
        <v>0</v>
      </c>
      <c r="D13" s="140">
        <f>D2</f>
        <v>1</v>
      </c>
      <c r="E13" s="141">
        <f>E2</f>
        <v>2</v>
      </c>
      <c r="F13" s="141">
        <f>F2</f>
        <v>3</v>
      </c>
      <c r="G13" s="141">
        <f>G2</f>
        <v>4</v>
      </c>
      <c r="H13" s="141">
        <f>H2</f>
        <v>5</v>
      </c>
      <c r="I13" s="141">
        <f>I2</f>
        <v>6</v>
      </c>
      <c r="J13" s="141">
        <f>J2</f>
        <v>7</v>
      </c>
      <c r="K13" s="141">
        <f>K2</f>
        <v>8</v>
      </c>
      <c r="L13" s="141">
        <f>L2</f>
        <v>9</v>
      </c>
      <c r="M13" s="174">
        <f>M2</f>
        <v>10</v>
      </c>
      <c r="O13" s="152"/>
    </row>
    <row r="14" spans="1:15" ht="16.5" customHeight="1" thickTop="1" thickBot="1" x14ac:dyDescent="0.3">
      <c r="B14" s="142" t="s">
        <v>5</v>
      </c>
      <c r="C14" s="143" t="s">
        <v>6</v>
      </c>
      <c r="D14" s="144"/>
      <c r="E14" s="145"/>
      <c r="F14" s="146"/>
      <c r="G14" s="146"/>
      <c r="H14" s="146"/>
      <c r="I14" s="146"/>
      <c r="J14" s="146"/>
      <c r="K14" s="146"/>
      <c r="L14" s="146"/>
      <c r="M14" s="175"/>
      <c r="O14" s="152"/>
    </row>
    <row r="15" spans="1:15" x14ac:dyDescent="0.25">
      <c r="B15" s="147" t="s">
        <v>6</v>
      </c>
      <c r="C15" s="148">
        <f>Historical_Prices!$J$219</f>
        <v>2.7156136363636367</v>
      </c>
      <c r="D15" s="149">
        <f ca="1">_xll.RiskLognorm($C$15,Historical_Prices!$J$218)</f>
        <v>2.744549826503822</v>
      </c>
      <c r="E15" s="150">
        <f ca="1">_xll.RiskLognorm($C$15,Historical_Prices!$J$218)</f>
        <v>2.7050402931625697</v>
      </c>
      <c r="F15" s="150">
        <f ca="1">_xll.RiskLognorm($C$15,Historical_Prices!$J$218)</f>
        <v>2.5839450593951119</v>
      </c>
      <c r="G15" s="150">
        <f ca="1">_xll.RiskLognorm($C$15,Historical_Prices!$J$218)</f>
        <v>2.7199336575221214</v>
      </c>
      <c r="H15" s="150">
        <f ca="1">_xll.RiskLognorm($C$15,Historical_Prices!$J$218)</f>
        <v>2.9651671693542001</v>
      </c>
      <c r="I15" s="150">
        <f ca="1">_xll.RiskLognorm($C$15,Historical_Prices!$J$218)</f>
        <v>2.6288893695150728</v>
      </c>
      <c r="J15" s="150">
        <f ca="1">_xll.RiskLognorm($C$15,Historical_Prices!$J$218)</f>
        <v>2.5532660148030448</v>
      </c>
      <c r="K15" s="150">
        <f ca="1">_xll.RiskLognorm($C$15,Historical_Prices!$J$218)</f>
        <v>2.7153645879714325</v>
      </c>
      <c r="L15" s="150">
        <f ca="1">_xll.RiskLognorm($C$15,Historical_Prices!$J$218)</f>
        <v>2.6743147678092303</v>
      </c>
      <c r="M15" s="163">
        <f ca="1">_xll.RiskOutput(,M13,1)+_xll.RiskLognorm($C$15,Historical_Prices!$J$218)</f>
        <v>3.2614635392168756</v>
      </c>
      <c r="O15" s="152" t="s">
        <v>96</v>
      </c>
    </row>
    <row r="16" spans="1:15" x14ac:dyDescent="0.25">
      <c r="B16" s="157" t="s">
        <v>8</v>
      </c>
      <c r="C16" s="158">
        <f>Historical_Prices!$J$219</f>
        <v>2.7156136363636367</v>
      </c>
      <c r="D16" s="159">
        <f ca="1">_xll.RiskLognorm(C16,Historical_Prices!$J$218)</f>
        <v>2.5325116545268833</v>
      </c>
      <c r="E16" s="160">
        <f ca="1">_xll.RiskLognorm(AVERAGE($C$16:D16),Historical_Prices!$J$218)</f>
        <v>2.5971010785925106</v>
      </c>
      <c r="F16" s="160">
        <f ca="1">_xll.RiskLognorm(AVERAGE($C$16:E16),Historical_Prices!$J$218)</f>
        <v>2.4509118590836287</v>
      </c>
      <c r="G16" s="160">
        <f ca="1">_xll.RiskLognorm(AVERAGE($C$16:F16),Historical_Prices!$J$218)</f>
        <v>2.4205351560830004</v>
      </c>
      <c r="H16" s="160">
        <f ca="1">_xll.RiskLognorm(AVERAGE($C$16:G16),Historical_Prices!$J$218)</f>
        <v>2.6269336417279425</v>
      </c>
      <c r="I16" s="160">
        <f ca="1">_xll.RiskLognorm(AVERAGE($C$16:H16),Historical_Prices!$J$218)</f>
        <v>2.6478878700735615</v>
      </c>
      <c r="J16" s="160">
        <f ca="1">_xll.RiskLognorm(AVERAGE($C$16:I16),Historical_Prices!$J$218)</f>
        <v>2.4130560824721137</v>
      </c>
      <c r="K16" s="160">
        <f ca="1">_xll.RiskLognorm(AVERAGE($C$16:J16),Historical_Prices!$J$218)</f>
        <v>2.6113042585226625</v>
      </c>
      <c r="L16" s="160">
        <f ca="1">_xll.RiskLognorm(AVERAGE($C$16:K16),Historical_Prices!$J$218)</f>
        <v>2.3377735393742034</v>
      </c>
      <c r="M16" s="163">
        <f ca="1">_xll.RiskOutput(,M13,3)+_xll.RiskLognorm(AVERAGE($C$16:L16),Historical_Prices!$J$218)</f>
        <v>2.6299323660175302</v>
      </c>
      <c r="O16" s="152" t="s">
        <v>97</v>
      </c>
    </row>
    <row r="17" spans="2:15" x14ac:dyDescent="0.25">
      <c r="B17" s="157" t="s">
        <v>91</v>
      </c>
      <c r="C17" s="158">
        <f>Historical_Prices!$J$219</f>
        <v>2.7156136363636367</v>
      </c>
      <c r="D17" s="159">
        <f ca="1">_xll.RiskGamma(25.957,0.10497,_xll.RiskName("Hist_Gas_Real"))</f>
        <v>2.8922466593279439</v>
      </c>
      <c r="E17" s="160">
        <f ca="1">_xll.RiskGamma(25.957,0.10497,_xll.RiskName("Hist_Gas_Real"))</f>
        <v>1.4060974617795614</v>
      </c>
      <c r="F17" s="160">
        <f ca="1">_xll.RiskGamma(25.957,0.10497,_xll.RiskName("Hist_Gas_Real"))</f>
        <v>3.627536255871318</v>
      </c>
      <c r="G17" s="160">
        <f ca="1">_xll.RiskGamma(25.957,0.10497,_xll.RiskName("Hist_Gas_Real"))</f>
        <v>3.2796835307739332</v>
      </c>
      <c r="H17" s="160">
        <f ca="1">_xll.RiskGamma(25.957,0.10497,_xll.RiskName("Hist_Gas_Real"))</f>
        <v>2.6474751952339086</v>
      </c>
      <c r="I17" s="160">
        <f ca="1">_xll.RiskGamma(25.957,0.10497,_xll.RiskName("Hist_Gas_Real"))</f>
        <v>2.9310607088959335</v>
      </c>
      <c r="J17" s="160">
        <f ca="1">_xll.RiskGamma(25.957,0.10497,_xll.RiskName("Hist_Gas_Real"))</f>
        <v>3.2444054040504051</v>
      </c>
      <c r="K17" s="160">
        <f ca="1">_xll.RiskGamma(25.957,0.10497,_xll.RiskName("Hist_Gas_Real"))</f>
        <v>3.0383761702517833</v>
      </c>
      <c r="L17" s="160">
        <f ca="1">_xll.RiskGamma(25.957,0.10497,_xll.RiskName("Hist_Gas_Real"))</f>
        <v>2.3244652647648558</v>
      </c>
      <c r="M17" s="163">
        <f ca="1">_xll.RiskOutput(,M13,5)+_xll.RiskGamma(25.957,0.10497,_xll.RiskName("Hist_Gas_Real"))</f>
        <v>3.091224191718664</v>
      </c>
      <c r="O17" s="152" t="s">
        <v>92</v>
      </c>
    </row>
    <row r="18" spans="2:15" x14ac:dyDescent="0.25">
      <c r="B18" s="153" t="s">
        <v>93</v>
      </c>
      <c r="C18" s="154">
        <f>Historical_Prices!$J$219</f>
        <v>2.7156136363636367</v>
      </c>
      <c r="D18" s="155">
        <f ca="1">$C$18 + ($C$18 * _xll.RiskLogistic(0.0025905,0.014839,_xll.RiskName("Hist_Gas_Abs")))</f>
        <v>2.7250961433752257</v>
      </c>
      <c r="E18" s="156">
        <f ca="1">$C$18 + ($C$18 * _xll.RiskLogistic(0.0025905,0.014839,_xll.RiskName("Hist_Gas_Abs")))</f>
        <v>2.716165690823634</v>
      </c>
      <c r="F18" s="156">
        <f ca="1">$C$18 + ($C$18 * _xll.RiskLogistic(0.0025905,0.014839,_xll.RiskName("Hist_Gas_Abs")))</f>
        <v>2.6618680255345923</v>
      </c>
      <c r="G18" s="156">
        <f ca="1">$C$18 + ($C$18 * _xll.RiskLogistic(0.0025905,0.014839,_xll.RiskName("Hist_Gas_Abs")))</f>
        <v>2.751170982810776</v>
      </c>
      <c r="H18" s="156">
        <f ca="1">$C$18 + ($C$18 * _xll.RiskLogistic(0.0025905,0.014839,_xll.RiskName("Hist_Gas_Abs")))</f>
        <v>2.6671532341410851</v>
      </c>
      <c r="I18" s="156">
        <f ca="1">$C$18 + ($C$18 * _xll.RiskLogistic(0.0025905,0.014839,_xll.RiskName("Hist_Gas_Abs")))</f>
        <v>2.6312093316030958</v>
      </c>
      <c r="J18" s="156">
        <f ca="1">$C$18 + ($C$18 * _xll.RiskLogistic(0.0025905,0.014839,_xll.RiskName("Hist_Gas_Abs")))</f>
        <v>2.7242852329618081</v>
      </c>
      <c r="K18" s="156">
        <f ca="1">$C$18 + ($C$18 * _xll.RiskLogistic(0.0025905,0.014839,_xll.RiskName("Hist_Gas_Abs")))</f>
        <v>2.7282247407276596</v>
      </c>
      <c r="L18" s="156">
        <f ca="1">$C$18 + ($C$18 * _xll.RiskLogistic(0.0025905,0.014839,_xll.RiskName("Hist_Gas_Abs")))</f>
        <v>2.7670461923412506</v>
      </c>
      <c r="M18" s="163">
        <f ca="1">_xll.RiskOutput(,M13,6)+$C$18 + ($C$18 * _xll.RiskLogistic(0.0025905,0.014839,_xll.RiskName("Hist_Gas_Abs")))</f>
        <v>2.6333890226060936</v>
      </c>
      <c r="O18" s="152" t="s">
        <v>92</v>
      </c>
    </row>
    <row r="19" spans="2:15" x14ac:dyDescent="0.25">
      <c r="B19" s="157" t="s">
        <v>94</v>
      </c>
      <c r="C19" s="158">
        <f>Historical_Prices!$J$219</f>
        <v>2.7156136363636367</v>
      </c>
      <c r="D19" s="159">
        <f>C19</f>
        <v>2.7156136363636367</v>
      </c>
      <c r="E19" s="160">
        <f t="shared" ref="E19:M19" si="4">D19</f>
        <v>2.7156136363636367</v>
      </c>
      <c r="F19" s="160">
        <f t="shared" si="4"/>
        <v>2.7156136363636367</v>
      </c>
      <c r="G19" s="160">
        <f t="shared" si="4"/>
        <v>2.7156136363636367</v>
      </c>
      <c r="H19" s="160">
        <f t="shared" si="4"/>
        <v>2.7156136363636367</v>
      </c>
      <c r="I19" s="160">
        <f t="shared" si="4"/>
        <v>2.7156136363636367</v>
      </c>
      <c r="J19" s="160">
        <f t="shared" si="4"/>
        <v>2.7156136363636367</v>
      </c>
      <c r="K19" s="160">
        <f t="shared" si="4"/>
        <v>2.7156136363636367</v>
      </c>
      <c r="L19" s="160">
        <f t="shared" si="4"/>
        <v>2.7156136363636367</v>
      </c>
      <c r="M19" s="164">
        <f t="shared" si="4"/>
        <v>2.7156136363636367</v>
      </c>
      <c r="O19" s="152"/>
    </row>
    <row r="20" spans="2:15" ht="15.75" thickBot="1" x14ac:dyDescent="0.3">
      <c r="B20" s="165" t="s">
        <v>95</v>
      </c>
      <c r="C20" s="166">
        <v>1</v>
      </c>
      <c r="D20" s="167">
        <v>2</v>
      </c>
      <c r="E20" s="168">
        <v>3</v>
      </c>
      <c r="F20" s="168">
        <v>4</v>
      </c>
      <c r="G20" s="168">
        <v>5</v>
      </c>
      <c r="H20" s="168">
        <v>6</v>
      </c>
      <c r="I20" s="168">
        <v>7</v>
      </c>
      <c r="J20" s="168">
        <v>8</v>
      </c>
      <c r="K20" s="168">
        <v>9</v>
      </c>
      <c r="L20" s="168">
        <v>10</v>
      </c>
      <c r="M20" s="169">
        <v>11</v>
      </c>
      <c r="O20" s="152"/>
    </row>
    <row r="21" spans="2:15" ht="7.5" customHeight="1" thickBot="1" x14ac:dyDescent="0.3">
      <c r="C21" s="171"/>
      <c r="D21" s="176"/>
      <c r="O21" s="152"/>
    </row>
    <row r="22" spans="2:15" ht="16.5" thickTop="1" thickBot="1" x14ac:dyDescent="0.3">
      <c r="B22" s="138" t="str">
        <f>"CEtOH"</f>
        <v>CEtOH</v>
      </c>
      <c r="C22" s="139">
        <f>C2</f>
        <v>0</v>
      </c>
      <c r="D22" s="140">
        <f>D2</f>
        <v>1</v>
      </c>
      <c r="E22" s="141">
        <f>E2</f>
        <v>2</v>
      </c>
      <c r="F22" s="141">
        <f>F2</f>
        <v>3</v>
      </c>
      <c r="G22" s="141">
        <f>G2</f>
        <v>4</v>
      </c>
      <c r="H22" s="141">
        <f>H2</f>
        <v>5</v>
      </c>
      <c r="I22" s="141">
        <f>I2</f>
        <v>6</v>
      </c>
      <c r="J22" s="141">
        <f>J2</f>
        <v>7</v>
      </c>
      <c r="K22" s="141">
        <f>K2</f>
        <v>8</v>
      </c>
      <c r="L22" s="141">
        <f>L2</f>
        <v>9</v>
      </c>
      <c r="M22" s="174">
        <f>M2</f>
        <v>10</v>
      </c>
      <c r="O22" s="152"/>
    </row>
    <row r="23" spans="2:15" ht="16.5" thickTop="1" thickBot="1" x14ac:dyDescent="0.3">
      <c r="B23" s="142" t="s">
        <v>5</v>
      </c>
      <c r="C23" s="143" t="s">
        <v>98</v>
      </c>
      <c r="D23" s="144"/>
      <c r="E23" s="145"/>
      <c r="F23" s="146"/>
      <c r="G23" s="146"/>
      <c r="H23" s="146"/>
      <c r="I23" s="146"/>
      <c r="J23" s="146"/>
      <c r="K23" s="146"/>
      <c r="L23" s="146"/>
      <c r="M23" s="175"/>
      <c r="O23" s="152"/>
    </row>
    <row r="24" spans="2:15" x14ac:dyDescent="0.25">
      <c r="B24" s="177" t="str">
        <f xml:space="preserve"> "Gas Price (" &amp; C14 &amp;")"</f>
        <v>Gas Price (Annual)</v>
      </c>
      <c r="C24" s="178">
        <f t="shared" ref="C24:M24" si="5">VLOOKUP($C$14,GasPrices,C22+2,)</f>
        <v>2.7156136363636367</v>
      </c>
      <c r="D24" s="179">
        <f ca="1">VLOOKUP($C$14,GasPrices,D22+2,)</f>
        <v>2.744549826503822</v>
      </c>
      <c r="E24" s="180">
        <f t="shared" ca="1" si="5"/>
        <v>2.7050402931625697</v>
      </c>
      <c r="F24" s="180">
        <f t="shared" ca="1" si="5"/>
        <v>2.5839450593951119</v>
      </c>
      <c r="G24" s="180">
        <f t="shared" ca="1" si="5"/>
        <v>2.7199336575221214</v>
      </c>
      <c r="H24" s="180">
        <f t="shared" ca="1" si="5"/>
        <v>2.9651671693542001</v>
      </c>
      <c r="I24" s="180">
        <f t="shared" ca="1" si="5"/>
        <v>2.6288893695150728</v>
      </c>
      <c r="J24" s="180">
        <f t="shared" ca="1" si="5"/>
        <v>2.5532660148030448</v>
      </c>
      <c r="K24" s="180">
        <f t="shared" ca="1" si="5"/>
        <v>2.7153645879714325</v>
      </c>
      <c r="L24" s="180">
        <f t="shared" ca="1" si="5"/>
        <v>2.6743147678092303</v>
      </c>
      <c r="M24" s="181">
        <f t="shared" ca="1" si="5"/>
        <v>3.2614635392168756</v>
      </c>
      <c r="O24" s="128" t="s">
        <v>99</v>
      </c>
    </row>
    <row r="25" spans="2:15" ht="15.75" thickBot="1" x14ac:dyDescent="0.3">
      <c r="B25" s="182" t="s">
        <v>100</v>
      </c>
      <c r="C25" s="183">
        <f>IF((3 - C24) &gt; 0.25, (3 - C24), 0.25)</f>
        <v>0.28438636363636327</v>
      </c>
      <c r="D25" s="184">
        <f t="shared" ref="D25:M25" ca="1" si="6">IF((3 - D24) &gt; 0.25, (3 - D24), 0.25)</f>
        <v>0.25545017349617805</v>
      </c>
      <c r="E25" s="185">
        <f t="shared" ca="1" si="6"/>
        <v>0.29495970683743034</v>
      </c>
      <c r="F25" s="185">
        <f t="shared" ca="1" si="6"/>
        <v>0.41605494060488812</v>
      </c>
      <c r="G25" s="185">
        <f t="shared" ca="1" si="6"/>
        <v>0.28006634247787865</v>
      </c>
      <c r="H25" s="185">
        <f t="shared" ca="1" si="6"/>
        <v>0.25</v>
      </c>
      <c r="I25" s="185">
        <f t="shared" ca="1" si="6"/>
        <v>0.37111063048492721</v>
      </c>
      <c r="J25" s="185">
        <f t="shared" ca="1" si="6"/>
        <v>0.44673398519695517</v>
      </c>
      <c r="K25" s="185">
        <f t="shared" ca="1" si="6"/>
        <v>0.28463541202856746</v>
      </c>
      <c r="L25" s="185">
        <f t="shared" ca="1" si="6"/>
        <v>0.32568523219076972</v>
      </c>
      <c r="M25" s="186">
        <f t="shared" ca="1" si="6"/>
        <v>0.25</v>
      </c>
    </row>
    <row r="26" spans="2:15" x14ac:dyDescent="0.25">
      <c r="B26" s="147" t="s">
        <v>98</v>
      </c>
      <c r="C26" s="148">
        <f t="shared" ref="C26:L26" si="7">C24+C25</f>
        <v>3</v>
      </c>
      <c r="D26" s="149">
        <f ca="1">D24+D25</f>
        <v>3</v>
      </c>
      <c r="E26" s="150">
        <f t="shared" ca="1" si="7"/>
        <v>3</v>
      </c>
      <c r="F26" s="150">
        <f t="shared" ca="1" si="7"/>
        <v>3</v>
      </c>
      <c r="G26" s="150">
        <f t="shared" ca="1" si="7"/>
        <v>3</v>
      </c>
      <c r="H26" s="150">
        <f t="shared" ca="1" si="7"/>
        <v>3.2151671693542001</v>
      </c>
      <c r="I26" s="150">
        <f t="shared" ca="1" si="7"/>
        <v>3</v>
      </c>
      <c r="J26" s="150">
        <f t="shared" ca="1" si="7"/>
        <v>3</v>
      </c>
      <c r="K26" s="150">
        <f t="shared" ca="1" si="7"/>
        <v>3</v>
      </c>
      <c r="L26" s="150">
        <f t="shared" ca="1" si="7"/>
        <v>3</v>
      </c>
      <c r="M26" s="187">
        <f ca="1">_xll.RiskOutput()+M24+M25</f>
        <v>3.5114635392168756</v>
      </c>
      <c r="O26" s="152" t="s">
        <v>96</v>
      </c>
    </row>
    <row r="27" spans="2:15" x14ac:dyDescent="0.25">
      <c r="B27" s="153" t="s">
        <v>94</v>
      </c>
      <c r="C27" s="188">
        <f>C24+C25</f>
        <v>3</v>
      </c>
      <c r="D27" s="155">
        <f>C27</f>
        <v>3</v>
      </c>
      <c r="E27" s="156">
        <f t="shared" ref="E27:M28" si="8">D27</f>
        <v>3</v>
      </c>
      <c r="F27" s="156">
        <f t="shared" si="8"/>
        <v>3</v>
      </c>
      <c r="G27" s="156">
        <f t="shared" si="8"/>
        <v>3</v>
      </c>
      <c r="H27" s="156">
        <f t="shared" si="8"/>
        <v>3</v>
      </c>
      <c r="I27" s="156">
        <f t="shared" si="8"/>
        <v>3</v>
      </c>
      <c r="J27" s="156">
        <f t="shared" si="8"/>
        <v>3</v>
      </c>
      <c r="K27" s="156">
        <f t="shared" si="8"/>
        <v>3</v>
      </c>
      <c r="L27" s="156">
        <f t="shared" si="8"/>
        <v>3</v>
      </c>
      <c r="M27" s="189">
        <f t="shared" si="8"/>
        <v>3</v>
      </c>
      <c r="O27" s="152"/>
    </row>
    <row r="28" spans="2:15" ht="15.75" thickBot="1" x14ac:dyDescent="0.3">
      <c r="B28" s="165" t="s">
        <v>95</v>
      </c>
      <c r="C28" s="166">
        <v>3</v>
      </c>
      <c r="D28" s="167">
        <f>C28</f>
        <v>3</v>
      </c>
      <c r="E28" s="168">
        <f t="shared" si="8"/>
        <v>3</v>
      </c>
      <c r="F28" s="168">
        <f t="shared" si="8"/>
        <v>3</v>
      </c>
      <c r="G28" s="168">
        <f t="shared" si="8"/>
        <v>3</v>
      </c>
      <c r="H28" s="168">
        <f t="shared" si="8"/>
        <v>3</v>
      </c>
      <c r="I28" s="168">
        <f t="shared" si="8"/>
        <v>3</v>
      </c>
      <c r="J28" s="168">
        <f t="shared" si="8"/>
        <v>3</v>
      </c>
      <c r="K28" s="168">
        <f t="shared" si="8"/>
        <v>3</v>
      </c>
      <c r="L28" s="168">
        <f t="shared" si="8"/>
        <v>3</v>
      </c>
      <c r="M28" s="169">
        <f t="shared" si="8"/>
        <v>3</v>
      </c>
      <c r="O28" s="152"/>
    </row>
    <row r="29" spans="2:15" ht="6" customHeight="1" thickBot="1" x14ac:dyDescent="0.3">
      <c r="B29" s="170"/>
      <c r="C29" s="171"/>
      <c r="D29" s="172"/>
      <c r="E29" s="173"/>
      <c r="F29" s="173"/>
      <c r="G29" s="173"/>
      <c r="H29" s="173"/>
      <c r="I29" s="173"/>
      <c r="J29" s="173"/>
      <c r="K29" s="173"/>
      <c r="L29" s="173"/>
      <c r="M29" s="173"/>
      <c r="O29" s="152"/>
    </row>
    <row r="30" spans="2:15" ht="16.5" customHeight="1" thickTop="1" thickBot="1" x14ac:dyDescent="0.3">
      <c r="B30" s="138" t="str">
        <f xml:space="preserve"> "DDG (Iowa " &amp; Historical_Prices!G3 &amp; ")"</f>
        <v>DDG (Iowa DDG 10% ($/ton))</v>
      </c>
      <c r="C30" s="139">
        <f>C2</f>
        <v>0</v>
      </c>
      <c r="D30" s="140">
        <f>D2</f>
        <v>1</v>
      </c>
      <c r="E30" s="141">
        <f>E2</f>
        <v>2</v>
      </c>
      <c r="F30" s="141">
        <f>F2</f>
        <v>3</v>
      </c>
      <c r="G30" s="141">
        <f>G2</f>
        <v>4</v>
      </c>
      <c r="H30" s="141">
        <f>H2</f>
        <v>5</v>
      </c>
      <c r="I30" s="141">
        <f>I2</f>
        <v>6</v>
      </c>
      <c r="J30" s="141">
        <f>J2</f>
        <v>7</v>
      </c>
      <c r="K30" s="141">
        <f>K2</f>
        <v>8</v>
      </c>
      <c r="L30" s="141">
        <f>L2</f>
        <v>9</v>
      </c>
      <c r="M30" s="141">
        <f>M2</f>
        <v>10</v>
      </c>
      <c r="O30" s="152"/>
    </row>
    <row r="31" spans="2:15" ht="16.5" customHeight="1" thickTop="1" thickBot="1" x14ac:dyDescent="0.3">
      <c r="B31" s="142" t="s">
        <v>5</v>
      </c>
      <c r="C31" s="143" t="s">
        <v>6</v>
      </c>
      <c r="D31" s="144"/>
      <c r="E31" s="145"/>
      <c r="F31" s="146"/>
      <c r="G31" s="146"/>
      <c r="H31" s="146"/>
      <c r="I31" s="146"/>
      <c r="J31" s="146"/>
      <c r="K31" s="146"/>
      <c r="L31" s="146"/>
      <c r="M31" s="146"/>
    </row>
    <row r="32" spans="2:15" x14ac:dyDescent="0.25">
      <c r="B32" s="190" t="s">
        <v>6</v>
      </c>
      <c r="C32" s="191">
        <f>Historical_Prices!$H$219</f>
        <v>108.73909090909092</v>
      </c>
      <c r="D32" s="149">
        <f ca="1">_xll.RiskLognorm($C$32,Historical_Prices!$H$218)</f>
        <v>108.5631587307367</v>
      </c>
      <c r="E32" s="150">
        <f ca="1">_xll.RiskLognorm($C$32,Historical_Prices!$H$218)</f>
        <v>109.25347122217401</v>
      </c>
      <c r="F32" s="150">
        <f ca="1">_xll.RiskLognorm($C$32,Historical_Prices!$H$218)</f>
        <v>108.54579279202046</v>
      </c>
      <c r="G32" s="150">
        <f ca="1">_xll.RiskLognorm($C$32,Historical_Prices!$H$218)</f>
        <v>109.08911867549722</v>
      </c>
      <c r="H32" s="150">
        <f ca="1">_xll.RiskLognorm($C$32,Historical_Prices!$H$218)</f>
        <v>109.12261024983518</v>
      </c>
      <c r="I32" s="150">
        <f ca="1">_xll.RiskLognorm($C$32,Historical_Prices!$H$218)</f>
        <v>108.7790091334542</v>
      </c>
      <c r="J32" s="150">
        <f ca="1">_xll.RiskLognorm($C$32,Historical_Prices!$H$218)</f>
        <v>108.23980897481641</v>
      </c>
      <c r="K32" s="150">
        <f ca="1">_xll.RiskLognorm($C$32,Historical_Prices!$H$218)</f>
        <v>108.93908539982462</v>
      </c>
      <c r="L32" s="150">
        <f ca="1">_xll.RiskLognorm($C$32,Historical_Prices!$H$218)</f>
        <v>108.3895215466659</v>
      </c>
      <c r="M32" s="151">
        <f ca="1">_xll.RiskOutput(,M30,1)+_xll.RiskLognorm($C$32,Historical_Prices!$H$218)</f>
        <v>109.17635066461369</v>
      </c>
      <c r="O32" s="152" t="s">
        <v>96</v>
      </c>
    </row>
    <row r="33" spans="2:15" x14ac:dyDescent="0.25">
      <c r="B33" s="157" t="s">
        <v>8</v>
      </c>
      <c r="C33" s="194">
        <f>Historical_Prices!$H$219</f>
        <v>108.73909090909092</v>
      </c>
      <c r="D33" s="159">
        <f ca="1">_xll.RiskLognorm(C33,Historical_Prices!$H$218)</f>
        <v>108.545860110135</v>
      </c>
      <c r="E33" s="160">
        <f ca="1">_xll.RiskLognorm(AVERAGE($C$33:D33),Historical_Prices!$H$218)</f>
        <v>108.80659695661238</v>
      </c>
      <c r="F33" s="160">
        <f ca="1">_xll.RiskLognorm(AVERAGE($C$33:E33),Historical_Prices!$H$218)</f>
        <v>108.64022535239968</v>
      </c>
      <c r="G33" s="160">
        <f ca="1">_xll.RiskLognorm(AVERAGE($C$33:F33),Historical_Prices!$H$218)</f>
        <v>108.61646548372249</v>
      </c>
      <c r="H33" s="160">
        <f ca="1">_xll.RiskLognorm(AVERAGE($C$33:G33),Historical_Prices!$H$218)</f>
        <v>108.28828289898114</v>
      </c>
      <c r="I33" s="160">
        <f ca="1">_xll.RiskLognorm(AVERAGE($C$33:H33),Historical_Prices!$H$218)</f>
        <v>108.46400094229502</v>
      </c>
      <c r="J33" s="160">
        <f ca="1">_xll.RiskLognorm(AVERAGE($C$33:I33),Historical_Prices!$H$218)</f>
        <v>108.31084626650066</v>
      </c>
      <c r="K33" s="160">
        <f ca="1">_xll.RiskLognorm(AVERAGE($C$33:J33),Historical_Prices!$H$218)</f>
        <v>108.92445036725995</v>
      </c>
      <c r="L33" s="160">
        <f ca="1">_xll.RiskLognorm(AVERAGE($C$33:K33),Historical_Prices!$H$218)</f>
        <v>109.19276858822589</v>
      </c>
      <c r="M33" s="163">
        <f ca="1">_xll.RiskOutput(,M30,3)+_xll.RiskLognorm(AVERAGE($C$33:L33),Historical_Prices!$H$218)</f>
        <v>108.61822804240876</v>
      </c>
      <c r="O33" s="152" t="s">
        <v>101</v>
      </c>
    </row>
    <row r="34" spans="2:15" x14ac:dyDescent="0.25">
      <c r="B34" s="157" t="s">
        <v>8</v>
      </c>
      <c r="C34" s="194">
        <f>Historical_Prices!$H$219</f>
        <v>108.73909090909092</v>
      </c>
      <c r="D34" s="159">
        <f ca="1">_xll.RiskLognorm(C34,Historical_Prices!$H$218)</f>
        <v>108.19975010675419</v>
      </c>
      <c r="E34" s="160">
        <f ca="1">_xll.RiskLognorm(AVERAGE($C$33:D34),Historical_Prices!$H$218)</f>
        <v>108.49663955942026</v>
      </c>
      <c r="F34" s="160">
        <f ca="1">_xll.RiskLognorm(AVERAGE($C$33:E34),Historical_Prices!$H$218)</f>
        <v>108.66743662185607</v>
      </c>
      <c r="G34" s="160">
        <f ca="1">_xll.RiskLognorm(AVERAGE($C$33:F34),Historical_Prices!$H$218)</f>
        <v>108.56482285943248</v>
      </c>
      <c r="H34" s="160">
        <f ca="1">_xll.RiskLognorm(AVERAGE($C$33:G34),Historical_Prices!$H$218)</f>
        <v>109.15123333041778</v>
      </c>
      <c r="I34" s="160">
        <f ca="1">_xll.RiskLognorm(AVERAGE($C$33:H34),Historical_Prices!$H$218)</f>
        <v>109.13584868124504</v>
      </c>
      <c r="J34" s="160">
        <f ca="1">_xll.RiskLognorm(AVERAGE($C$33:I34),Historical_Prices!$H$218)</f>
        <v>108.78691656729322</v>
      </c>
      <c r="K34" s="160">
        <f ca="1">_xll.RiskLognorm(AVERAGE($C$33:J34),Historical_Prices!$H$218)</f>
        <v>108.2411680241879</v>
      </c>
      <c r="L34" s="160">
        <f ca="1">_xll.RiskLognorm(AVERAGE($C$33:K34),Historical_Prices!$H$218)</f>
        <v>108.18753673743393</v>
      </c>
      <c r="M34" s="163">
        <f ca="1">_xll.RiskOutput(,M31,3)+_xll.RiskLognorm(AVERAGE($C$33:L34),Historical_Prices!$H$218)</f>
        <v>108.32442363220652</v>
      </c>
      <c r="O34" s="152" t="s">
        <v>101</v>
      </c>
    </row>
    <row r="35" spans="2:15" x14ac:dyDescent="0.25">
      <c r="B35" s="157" t="s">
        <v>91</v>
      </c>
      <c r="C35" s="194">
        <f>Historical_Prices!$H$219</f>
        <v>108.73909090909092</v>
      </c>
      <c r="D35" s="159">
        <f ca="1">_xll.RiskTriang(0,126.1,202.69,_xll.RiskName("Hist_DDG_Real"))</f>
        <v>162.94201494303127</v>
      </c>
      <c r="E35" s="160">
        <f ca="1">_xll.RiskTriang(0,126.1,202.69,_xll.RiskName("Hist_DDG_Real"))</f>
        <v>109.19903806292309</v>
      </c>
      <c r="F35" s="160">
        <f ca="1">_xll.RiskTriang(0,126.1,202.69,_xll.RiskName("Hist_DDG_Real"))</f>
        <v>123.38751901693213</v>
      </c>
      <c r="G35" s="160">
        <f ca="1">_xll.RiskTriang(0,126.1,202.69,_xll.RiskName("Hist_DDG_Real"))</f>
        <v>155.79450040154126</v>
      </c>
      <c r="H35" s="160">
        <f ca="1">_xll.RiskTriang(0,126.1,202.69,_xll.RiskName("Hist_DDG_Real"))</f>
        <v>154.8485132909459</v>
      </c>
      <c r="I35" s="160">
        <f ca="1">_xll.RiskTriang(0,126.1,202.69,_xll.RiskName("Hist_DDG_Real"))</f>
        <v>182.72596011587845</v>
      </c>
      <c r="J35" s="160">
        <f ca="1">_xll.RiskTriang(0,126.1,202.69,_xll.RiskName("Hist_DDG_Real"))</f>
        <v>111.88333459525673</v>
      </c>
      <c r="K35" s="160">
        <f ca="1">_xll.RiskTriang(0,126.1,202.69,_xll.RiskName("Hist_DDG_Real"))</f>
        <v>134.21345860260919</v>
      </c>
      <c r="L35" s="160">
        <f ca="1">_xll.RiskTriang(0,126.1,202.69,_xll.RiskName("Hist_DDG_Real"))</f>
        <v>47.471378355124983</v>
      </c>
      <c r="M35" s="163">
        <f ca="1">_xll.RiskTriang(0,126.1,202.69,_xll.RiskName("Hist_DDG_Real"))</f>
        <v>121.63112977996674</v>
      </c>
      <c r="O35" s="152" t="s">
        <v>92</v>
      </c>
    </row>
    <row r="36" spans="2:15" ht="16.5" customHeight="1" x14ac:dyDescent="0.25">
      <c r="B36" s="153" t="s">
        <v>93</v>
      </c>
      <c r="C36" s="192">
        <f>Historical_Prices!$H$219</f>
        <v>108.73909090909092</v>
      </c>
      <c r="D36" s="155">
        <f ca="1">$C$36+($C$36 * _xll.RiskLoglogistic(-0.31036,0.31421,13.458,_xll.RiskName("DDGS")))</f>
        <v>109.74079472945566</v>
      </c>
      <c r="E36" s="156">
        <f ca="1">$C$36+($C$36 * _xll.RiskLoglogistic(-0.31036,0.31421,13.458,_xll.RiskName("DDGS")))</f>
        <v>108.29513133840177</v>
      </c>
      <c r="F36" s="156">
        <f ca="1">$C$36+($C$36 * _xll.RiskLoglogistic(-0.31036,0.31421,13.458,_xll.RiskName("DDGS")))</f>
        <v>110.62497045506873</v>
      </c>
      <c r="G36" s="156">
        <f ca="1">$C$36+($C$36 * _xll.RiskLoglogistic(-0.31036,0.31421,13.458,_xll.RiskName("DDGS")))</f>
        <v>110.74028469789455</v>
      </c>
      <c r="H36" s="156">
        <f ca="1">$C$36+($C$36 * _xll.RiskLoglogistic(-0.31036,0.31421,13.458,_xll.RiskName("DDGS")))</f>
        <v>100.31108586193247</v>
      </c>
      <c r="I36" s="156">
        <f ca="1">$C$36+($C$36 * _xll.RiskLoglogistic(-0.31036,0.31421,13.458,_xll.RiskName("DDGS")))</f>
        <v>108.49033715044216</v>
      </c>
      <c r="J36" s="156">
        <f ca="1">$C$36+($C$36 * _xll.RiskLoglogistic(-0.31036,0.31421,13.458,_xll.RiskName("DDGS")))</f>
        <v>113.28870919705651</v>
      </c>
      <c r="K36" s="156">
        <f ca="1">$C$36+($C$36 * _xll.RiskLoglogistic(-0.31036,0.31421,13.458,_xll.RiskName("DDGS")))</f>
        <v>111.77916204409217</v>
      </c>
      <c r="L36" s="156">
        <f ca="1">$C$36+($C$36 * _xll.RiskLoglogistic(-0.31036,0.31421,13.458,_xll.RiskName("DDGS")))</f>
        <v>108.92911215635878</v>
      </c>
      <c r="M36" s="163">
        <f ca="1">_xll.RiskOutput(,M30,6)+$C$36+($C$36 * _xll.RiskLoglogistic(-0.31036,0.31421,13.458,_xll.RiskName("DDGS")))</f>
        <v>108.77187161594813</v>
      </c>
      <c r="O36" s="152" t="s">
        <v>92</v>
      </c>
    </row>
    <row r="37" spans="2:15" ht="16.5" customHeight="1" x14ac:dyDescent="0.25">
      <c r="B37" s="195" t="s">
        <v>94</v>
      </c>
      <c r="C37" s="194">
        <f>Historical_Prices!$H$219</f>
        <v>108.73909090909092</v>
      </c>
      <c r="D37" s="159">
        <f>C37</f>
        <v>108.73909090909092</v>
      </c>
      <c r="E37" s="160">
        <f t="shared" ref="E37:M38" si="9">D37</f>
        <v>108.73909090909092</v>
      </c>
      <c r="F37" s="160">
        <f t="shared" si="9"/>
        <v>108.73909090909092</v>
      </c>
      <c r="G37" s="160">
        <f t="shared" si="9"/>
        <v>108.73909090909092</v>
      </c>
      <c r="H37" s="160">
        <f t="shared" si="9"/>
        <v>108.73909090909092</v>
      </c>
      <c r="I37" s="160">
        <f t="shared" si="9"/>
        <v>108.73909090909092</v>
      </c>
      <c r="J37" s="160">
        <f t="shared" si="9"/>
        <v>108.73909090909092</v>
      </c>
      <c r="K37" s="160">
        <f t="shared" si="9"/>
        <v>108.73909090909092</v>
      </c>
      <c r="L37" s="160">
        <f t="shared" si="9"/>
        <v>108.73909090909092</v>
      </c>
      <c r="M37" s="164">
        <f t="shared" si="9"/>
        <v>108.73909090909092</v>
      </c>
      <c r="O37" s="193"/>
    </row>
    <row r="38" spans="2:15" ht="16.5" customHeight="1" x14ac:dyDescent="0.25">
      <c r="B38" s="196" t="s">
        <v>95</v>
      </c>
      <c r="C38" s="197">
        <f>Historical_Prices!$H$219</f>
        <v>108.73909090909092</v>
      </c>
      <c r="D38" s="155">
        <f>C38</f>
        <v>108.73909090909092</v>
      </c>
      <c r="E38" s="156">
        <f t="shared" si="9"/>
        <v>108.73909090909092</v>
      </c>
      <c r="F38" s="156">
        <f t="shared" si="9"/>
        <v>108.73909090909092</v>
      </c>
      <c r="G38" s="156">
        <f t="shared" si="9"/>
        <v>108.73909090909092</v>
      </c>
      <c r="H38" s="156">
        <f t="shared" si="9"/>
        <v>108.73909090909092</v>
      </c>
      <c r="I38" s="156">
        <f t="shared" si="9"/>
        <v>108.73909090909092</v>
      </c>
      <c r="J38" s="156">
        <f t="shared" si="9"/>
        <v>108.73909090909092</v>
      </c>
      <c r="K38" s="156">
        <f t="shared" si="9"/>
        <v>108.73909090909092</v>
      </c>
      <c r="L38" s="156">
        <f t="shared" si="9"/>
        <v>108.73909090909092</v>
      </c>
      <c r="M38" s="189">
        <f t="shared" si="9"/>
        <v>108.73909090909092</v>
      </c>
      <c r="O38" s="193"/>
    </row>
    <row r="39" spans="2:15" ht="16.5" customHeight="1" x14ac:dyDescent="0.25">
      <c r="B39" s="196" t="s">
        <v>95</v>
      </c>
      <c r="C39" s="197">
        <f>Historical_Prices!$H$219</f>
        <v>108.73909090909092</v>
      </c>
      <c r="D39" s="155">
        <f>C39</f>
        <v>108.73909090909092</v>
      </c>
      <c r="E39" s="156">
        <f t="shared" ref="E39" si="10">D39</f>
        <v>108.73909090909092</v>
      </c>
      <c r="F39" s="156">
        <f t="shared" ref="F39" si="11">E39</f>
        <v>108.73909090909092</v>
      </c>
      <c r="G39" s="156">
        <f t="shared" ref="G39" si="12">F39</f>
        <v>108.73909090909092</v>
      </c>
      <c r="H39" s="156">
        <f t="shared" ref="H39" si="13">G39</f>
        <v>108.73909090909092</v>
      </c>
      <c r="I39" s="156">
        <f t="shared" ref="I39" si="14">H39</f>
        <v>108.73909090909092</v>
      </c>
      <c r="J39" s="156">
        <f t="shared" ref="J39" si="15">I39</f>
        <v>108.73909090909092</v>
      </c>
      <c r="K39" s="156">
        <f t="shared" ref="K39" si="16">J39</f>
        <v>108.73909090909092</v>
      </c>
      <c r="L39" s="156">
        <f t="shared" ref="L39" si="17">K39</f>
        <v>108.73909090909092</v>
      </c>
      <c r="M39" s="189">
        <f t="shared" ref="M39" si="18">L39</f>
        <v>108.73909090909092</v>
      </c>
      <c r="O39" s="193"/>
    </row>
    <row r="40" spans="2:15" ht="6.75" customHeight="1" thickBot="1" x14ac:dyDescent="0.3">
      <c r="B40" s="199"/>
      <c r="C40" s="171"/>
      <c r="D40" s="172"/>
      <c r="E40" s="173"/>
      <c r="F40" s="173"/>
      <c r="G40" s="173"/>
      <c r="H40" s="173"/>
      <c r="I40" s="173"/>
      <c r="J40" s="173"/>
      <c r="K40" s="173"/>
      <c r="L40" s="173"/>
      <c r="M40" s="173"/>
      <c r="O40" s="193"/>
    </row>
    <row r="41" spans="2:15" ht="16.5" customHeight="1" thickTop="1" thickBot="1" x14ac:dyDescent="0.3">
      <c r="B41" s="138" t="str">
        <f xml:space="preserve"> "Feedstock (Iowa " &amp; Historical_Prices!E3 &amp; ")"</f>
        <v>Feedstock (Iowa Yellow Corn ($/bu))</v>
      </c>
      <c r="C41" s="139">
        <f>C2</f>
        <v>0</v>
      </c>
      <c r="D41" s="140">
        <f>D2</f>
        <v>1</v>
      </c>
      <c r="E41" s="141">
        <f>E2</f>
        <v>2</v>
      </c>
      <c r="F41" s="141">
        <f>F2</f>
        <v>3</v>
      </c>
      <c r="G41" s="141">
        <f>G2</f>
        <v>4</v>
      </c>
      <c r="H41" s="141">
        <f>H2</f>
        <v>5</v>
      </c>
      <c r="I41" s="141">
        <f>I2</f>
        <v>6</v>
      </c>
      <c r="J41" s="141">
        <f>J2</f>
        <v>7</v>
      </c>
      <c r="K41" s="141">
        <f>K2</f>
        <v>8</v>
      </c>
      <c r="L41" s="141">
        <f>L2</f>
        <v>9</v>
      </c>
      <c r="M41" s="141">
        <f>M2</f>
        <v>10</v>
      </c>
      <c r="O41" s="152"/>
    </row>
    <row r="42" spans="2:15" ht="16.5" customHeight="1" thickTop="1" thickBot="1" x14ac:dyDescent="0.3">
      <c r="B42" s="142" t="s">
        <v>5</v>
      </c>
      <c r="C42" s="143" t="s">
        <v>6</v>
      </c>
      <c r="D42" s="144"/>
      <c r="E42" s="145"/>
      <c r="F42" s="146"/>
      <c r="G42" s="146"/>
      <c r="H42" s="146"/>
      <c r="I42" s="146"/>
      <c r="J42" s="146"/>
      <c r="K42" s="146"/>
      <c r="L42" s="146"/>
      <c r="M42" s="146"/>
      <c r="O42" s="152"/>
    </row>
    <row r="43" spans="2:15" ht="15.75" thickBot="1" x14ac:dyDescent="0.3">
      <c r="B43" s="147" t="s">
        <v>6</v>
      </c>
      <c r="C43" s="191">
        <f>Historical_Prices!$F$219</f>
        <v>3.6900000000000004</v>
      </c>
      <c r="D43" s="149">
        <f ca="1">_xll.RiskLognorm($C$43,Historical_Prices!$F$218)</f>
        <v>2.5834942223327757</v>
      </c>
      <c r="E43" s="150">
        <f ca="1">_xll.RiskLognorm($C$43,Historical_Prices!$F$218)</f>
        <v>4.0737640115903071</v>
      </c>
      <c r="F43" s="150">
        <f ca="1">_xll.RiskLognorm($C$43,Historical_Prices!$F$218)</f>
        <v>4.1926616098602576</v>
      </c>
      <c r="G43" s="150">
        <f ca="1">_xll.RiskLognorm($C$43,Historical_Prices!$F$218)</f>
        <v>2.9749829347479038</v>
      </c>
      <c r="H43" s="150">
        <f ca="1">_xll.RiskLognorm($C$43,Historical_Prices!$F$218)</f>
        <v>3.7407906130453572</v>
      </c>
      <c r="I43" s="150">
        <f ca="1">_xll.RiskLognorm($C$43,Historical_Prices!$F$218)</f>
        <v>3.7736394857213895</v>
      </c>
      <c r="J43" s="150">
        <f ca="1">_xll.RiskLognorm($C$43,Historical_Prices!$F$218)</f>
        <v>3.4912274379386568</v>
      </c>
      <c r="K43" s="150">
        <f ca="1">_xll.RiskLognorm($C$43,Historical_Prices!$F$218)</f>
        <v>4.0539934917335501</v>
      </c>
      <c r="L43" s="150">
        <f ca="1">_xll.RiskLognorm($C$43,Historical_Prices!$F$218)</f>
        <v>2.8552437164772217</v>
      </c>
      <c r="M43" s="151">
        <f ca="1">_xll.RiskOutput()+_xll.RiskLognorm($C$43,Historical_Prices!$F$218)</f>
        <v>2.865226784474733</v>
      </c>
      <c r="O43" s="152" t="s">
        <v>96</v>
      </c>
    </row>
    <row r="44" spans="2:15" x14ac:dyDescent="0.25">
      <c r="B44" s="147" t="s">
        <v>6</v>
      </c>
      <c r="C44" s="191">
        <f>Historical_Prices!$F$219</f>
        <v>3.6900000000000004</v>
      </c>
      <c r="D44" s="149">
        <f ca="1">_xll.RiskLognorm($C$43,Historical_Prices!$F$218)</f>
        <v>3.7028399338407221</v>
      </c>
      <c r="E44" s="150">
        <f ca="1">_xll.RiskLognorm($C$43,Historical_Prices!$F$218)</f>
        <v>3.2350183482868853</v>
      </c>
      <c r="F44" s="150">
        <f ca="1">_xll.RiskLognorm($C$43,Historical_Prices!$F$218)</f>
        <v>3.2551133016041764</v>
      </c>
      <c r="G44" s="150">
        <f ca="1">_xll.RiskLognorm($C$43,Historical_Prices!$F$218)</f>
        <v>3.4204939297990076</v>
      </c>
      <c r="H44" s="150">
        <f ca="1">_xll.RiskLognorm($C$43,Historical_Prices!$F$218)</f>
        <v>4.0082353541694227</v>
      </c>
      <c r="I44" s="150">
        <f ca="1">_xll.RiskLognorm($C$43,Historical_Prices!$F$218)</f>
        <v>3.5446896523807676</v>
      </c>
      <c r="J44" s="150">
        <f ca="1">_xll.RiskLognorm($C$43,Historical_Prices!$F$218)</f>
        <v>4.1217553271352223</v>
      </c>
      <c r="K44" s="150">
        <f ca="1">_xll.RiskLognorm($C$43,Historical_Prices!$F$218)</f>
        <v>3.4189113881389797</v>
      </c>
      <c r="L44" s="150">
        <f ca="1">_xll.RiskLognorm($C$43,Historical_Prices!$F$218)</f>
        <v>4.5320284840484879</v>
      </c>
      <c r="M44" s="151">
        <f ca="1">_xll.RiskOutput()+_xll.RiskLognorm($C$43,Historical_Prices!$F$218)</f>
        <v>3.5478106005268644</v>
      </c>
      <c r="O44" s="152" t="s">
        <v>96</v>
      </c>
    </row>
    <row r="45" spans="2:15" x14ac:dyDescent="0.25">
      <c r="B45" s="157" t="s">
        <v>8</v>
      </c>
      <c r="C45" s="194">
        <f>Historical_Prices!$F$219</f>
        <v>3.6900000000000004</v>
      </c>
      <c r="D45" s="159">
        <f ca="1">_xll.RiskLognorm(C45,Historical_Prices!$F$218)</f>
        <v>4.4131815548315396</v>
      </c>
      <c r="E45" s="160">
        <f ca="1">_xll.RiskLognorm(AVERAGE($C$45:D45),Historical_Prices!$F$218)</f>
        <v>4.1291691941713369</v>
      </c>
      <c r="F45" s="160">
        <f ca="1">_xll.RiskLognorm(AVERAGE($C$45:E45),Historical_Prices!$F$218)</f>
        <v>4.049821058244274</v>
      </c>
      <c r="G45" s="160">
        <f ca="1">_xll.RiskLognorm(AVERAGE($C$45:F45),Historical_Prices!$F$218)</f>
        <v>3.9994881684568302</v>
      </c>
      <c r="H45" s="160">
        <f ca="1">_xll.RiskLognorm(AVERAGE($C$45:G45),Historical_Prices!$F$218)</f>
        <v>4.4644331813352132</v>
      </c>
      <c r="I45" s="160">
        <f ca="1">_xll.RiskLognorm(AVERAGE($C$45:H45),Historical_Prices!$F$218)</f>
        <v>4.2898536771927285</v>
      </c>
      <c r="J45" s="160">
        <f ca="1">_xll.RiskLognorm(AVERAGE($C$45:I45),Historical_Prices!$F$218)</f>
        <v>3.7932414416976288</v>
      </c>
      <c r="K45" s="160">
        <f ca="1">_xll.RiskLognorm(AVERAGE($C$45:J45),Historical_Prices!$F$218)</f>
        <v>4.8610994872018747</v>
      </c>
      <c r="L45" s="160">
        <f ca="1">_xll.RiskLognorm(AVERAGE($C$45:K45),Historical_Prices!$F$218)</f>
        <v>4.0761843068701067</v>
      </c>
      <c r="M45" s="163">
        <f ca="1">_xll.RiskOutput(,M41,2)+_xll.RiskLognorm(AVERAGE($C$45:L45),Historical_Prices!$F$218)</f>
        <v>5.3347773347961347</v>
      </c>
      <c r="O45" s="152" t="s">
        <v>102</v>
      </c>
    </row>
    <row r="46" spans="2:15" x14ac:dyDescent="0.25">
      <c r="B46" s="157" t="s">
        <v>8</v>
      </c>
      <c r="C46" s="194">
        <f>Historical_Prices!$F$219</f>
        <v>3.6900000000000004</v>
      </c>
      <c r="D46" s="159">
        <f ca="1">_xll.RiskLognorm(C46,Historical_Prices!$F$218)</f>
        <v>3.6703159338800511</v>
      </c>
      <c r="E46" s="160">
        <f ca="1">_xll.RiskLognorm(AVERAGE($C$45:D46),Historical_Prices!$F$218)</f>
        <v>3.3224996152976054</v>
      </c>
      <c r="F46" s="160">
        <f ca="1">_xll.RiskLognorm(AVERAGE($C$45:E46),Historical_Prices!$F$218)</f>
        <v>4.0724960834121644</v>
      </c>
      <c r="G46" s="160">
        <f ca="1">_xll.RiskLognorm(AVERAGE($C$45:F46),Historical_Prices!$F$218)</f>
        <v>4.5835641113330343</v>
      </c>
      <c r="H46" s="160">
        <f ca="1">_xll.RiskLognorm(AVERAGE($C$45:G46),Historical_Prices!$F$218)</f>
        <v>3.9377270246979776</v>
      </c>
      <c r="I46" s="160">
        <f ca="1">_xll.RiskLognorm(AVERAGE($C$45:H46),Historical_Prices!$F$218)</f>
        <v>4.6838115988188269</v>
      </c>
      <c r="J46" s="160">
        <f ca="1">_xll.RiskLognorm(AVERAGE($C$45:I46),Historical_Prices!$F$218)</f>
        <v>4.0621611385772649</v>
      </c>
      <c r="K46" s="160">
        <f ca="1">_xll.RiskLognorm(AVERAGE($C$45:J46),Historical_Prices!$F$218)</f>
        <v>4.1294940863070897</v>
      </c>
      <c r="L46" s="160">
        <f ca="1">_xll.RiskLognorm(AVERAGE($C$45:K46),Historical_Prices!$F$218)</f>
        <v>4.2195900505325303</v>
      </c>
      <c r="M46" s="163">
        <f ca="1">_xll.RiskOutput(,M42,2)+_xll.RiskLognorm(AVERAGE($C$45:L46),Historical_Prices!$F$218)</f>
        <v>3.8807623930991988</v>
      </c>
      <c r="O46" s="152" t="s">
        <v>102</v>
      </c>
    </row>
    <row r="47" spans="2:15" x14ac:dyDescent="0.25">
      <c r="B47" s="157" t="s">
        <v>91</v>
      </c>
      <c r="C47" s="194">
        <f>Historical_Prices!$F$219</f>
        <v>3.6900000000000004</v>
      </c>
      <c r="D47" s="159">
        <f ca="1">_xll.RiskPearson5(27.392,102.04,_xll.RiskName("Hist_Corn_Real"))</f>
        <v>3.4148160273580563</v>
      </c>
      <c r="E47" s="160">
        <f ca="1">_xll.RiskPearson5(27.392,102.04,_xll.RiskName("Hist_Corn_Real"))</f>
        <v>3.7965623275068423</v>
      </c>
      <c r="F47" s="160">
        <f ca="1">_xll.RiskPearson5(27.392,102.04,_xll.RiskName("Hist_Corn_Real"))</f>
        <v>4.6590029718759833</v>
      </c>
      <c r="G47" s="160">
        <f ca="1">_xll.RiskPearson5(27.392,102.04,_xll.RiskName("Hist_Corn_Real"))</f>
        <v>5.4524994767195079</v>
      </c>
      <c r="H47" s="160">
        <f ca="1">_xll.RiskPearson5(27.392,102.04,_xll.RiskName("Hist_Corn_Real"))</f>
        <v>3.150076505052442</v>
      </c>
      <c r="I47" s="160">
        <f ca="1">_xll.RiskPearson5(27.392,102.04,_xll.RiskName("Hist_Corn_Real"))</f>
        <v>3.3542016323588051</v>
      </c>
      <c r="J47" s="160">
        <f ca="1">_xll.RiskPearson5(27.392,102.04,_xll.RiskName("Hist_Corn_Real"))</f>
        <v>3.8848431675726096</v>
      </c>
      <c r="K47" s="160">
        <f ca="1">_xll.RiskPearson5(27.392,102.04,_xll.RiskName("Hist_Corn_Real"))</f>
        <v>3.9142034691256686</v>
      </c>
      <c r="L47" s="160">
        <f ca="1">_xll.RiskPearson5(27.392,102.04,_xll.RiskName("Hist_Corn_Real"))</f>
        <v>2.8009309195613743</v>
      </c>
      <c r="M47" s="163">
        <f ca="1">_xll.RiskOutput(,M41,4)+_xll.RiskPearson5(27.392,102.04,_xll.RiskName("Hist_Corn_Real"))</f>
        <v>5.2791048318856184</v>
      </c>
      <c r="O47" s="152" t="s">
        <v>92</v>
      </c>
    </row>
    <row r="48" spans="2:15" x14ac:dyDescent="0.25">
      <c r="B48" s="153" t="s">
        <v>93</v>
      </c>
      <c r="C48" s="200">
        <f>Historical_Prices!$F$219</f>
        <v>3.6900000000000004</v>
      </c>
      <c r="D48" s="155">
        <f ca="1">$C$48+($C$48 * _xll.RiskLogistic(0.0073159,0.029684,_xll.RiskName("Corn_Price")))</f>
        <v>3.4915665217686511</v>
      </c>
      <c r="E48" s="162">
        <f ca="1">$C$48+($C$48 * _xll.RiskLogistic(0.0073159,0.029684,_xll.RiskName("Corn_Price")))</f>
        <v>3.792852666172172</v>
      </c>
      <c r="F48" s="162">
        <f ca="1">$C$48+($C$48 * _xll.RiskLogistic(0.0073159,0.029684,_xll.RiskName("Corn_Price")))</f>
        <v>3.8320464082121934</v>
      </c>
      <c r="G48" s="162">
        <f ca="1">$C$48+($C$48 * _xll.RiskLogistic(0.0073159,0.029684,_xll.RiskName("Corn_Price")))</f>
        <v>3.8490007315975592</v>
      </c>
      <c r="H48" s="162">
        <f ca="1">$C$48+($C$48 * _xll.RiskLogistic(0.0073159,0.029684,_xll.RiskName("Corn_Price")))</f>
        <v>3.7425123472549284</v>
      </c>
      <c r="I48" s="162">
        <f ca="1">$C$48+($C$48 * _xll.RiskLogistic(0.0073159,0.029684,_xll.RiskName("Corn_Price")))</f>
        <v>3.6684502060367494</v>
      </c>
      <c r="J48" s="162">
        <f ca="1">$C$48+($C$48 * _xll.RiskLogistic(0.0073159,0.029684,_xll.RiskName("Corn_Price")))</f>
        <v>3.7749619237388297</v>
      </c>
      <c r="K48" s="162">
        <f ca="1">$C$48+($C$48 * _xll.RiskLogistic(0.0073159,0.029684,_xll.RiskName("Corn_Price")))</f>
        <v>3.7311552953280516</v>
      </c>
      <c r="L48" s="162">
        <f ca="1">$C$48+($C$48 * _xll.RiskLogistic(0.0073159,0.029684,_xll.RiskName("Corn_Price")))</f>
        <v>3.5968195007723431</v>
      </c>
      <c r="M48" s="163">
        <f ca="1">_xll.RiskOutput(,M41,5)+$C$48+($C$48 * _xll.RiskLogistic(0.0073159,0.029684,_xll.RiskName("Corn_Price")))</f>
        <v>3.6312237722809049</v>
      </c>
      <c r="O48" s="152" t="s">
        <v>92</v>
      </c>
    </row>
    <row r="49" spans="2:15" x14ac:dyDescent="0.25">
      <c r="B49" s="157" t="s">
        <v>94</v>
      </c>
      <c r="C49" s="194">
        <f>Historical_Prices!$F$219</f>
        <v>3.6900000000000004</v>
      </c>
      <c r="D49" s="159">
        <f>C49</f>
        <v>3.6900000000000004</v>
      </c>
      <c r="E49" s="160">
        <f t="shared" ref="E49:M50" si="19">D49</f>
        <v>3.6900000000000004</v>
      </c>
      <c r="F49" s="160">
        <f t="shared" si="19"/>
        <v>3.6900000000000004</v>
      </c>
      <c r="G49" s="160">
        <f t="shared" si="19"/>
        <v>3.6900000000000004</v>
      </c>
      <c r="H49" s="160">
        <f t="shared" si="19"/>
        <v>3.6900000000000004</v>
      </c>
      <c r="I49" s="160">
        <f t="shared" si="19"/>
        <v>3.6900000000000004</v>
      </c>
      <c r="J49" s="160">
        <f t="shared" si="19"/>
        <v>3.6900000000000004</v>
      </c>
      <c r="K49" s="160">
        <f t="shared" si="19"/>
        <v>3.6900000000000004</v>
      </c>
      <c r="L49" s="160">
        <f t="shared" si="19"/>
        <v>3.6900000000000004</v>
      </c>
      <c r="M49" s="164">
        <f t="shared" si="19"/>
        <v>3.6900000000000004</v>
      </c>
      <c r="O49" s="152"/>
    </row>
    <row r="50" spans="2:15" ht="15.75" thickBot="1" x14ac:dyDescent="0.3">
      <c r="B50" s="165" t="s">
        <v>95</v>
      </c>
      <c r="C50" s="198">
        <f>Historical_Prices!$F$219</f>
        <v>3.6900000000000004</v>
      </c>
      <c r="D50" s="167">
        <f>C50</f>
        <v>3.6900000000000004</v>
      </c>
      <c r="E50" s="168">
        <f t="shared" si="19"/>
        <v>3.6900000000000004</v>
      </c>
      <c r="F50" s="168">
        <f t="shared" si="19"/>
        <v>3.6900000000000004</v>
      </c>
      <c r="G50" s="168">
        <f t="shared" si="19"/>
        <v>3.6900000000000004</v>
      </c>
      <c r="H50" s="168">
        <f t="shared" si="19"/>
        <v>3.6900000000000004</v>
      </c>
      <c r="I50" s="168">
        <f t="shared" si="19"/>
        <v>3.6900000000000004</v>
      </c>
      <c r="J50" s="168">
        <f t="shared" si="19"/>
        <v>3.6900000000000004</v>
      </c>
      <c r="K50" s="168">
        <f t="shared" si="19"/>
        <v>3.6900000000000004</v>
      </c>
      <c r="L50" s="168">
        <f t="shared" si="19"/>
        <v>3.6900000000000004</v>
      </c>
      <c r="M50" s="169">
        <f t="shared" si="19"/>
        <v>3.6900000000000004</v>
      </c>
      <c r="O50" s="152"/>
    </row>
    <row r="51" spans="2:15" ht="6.75" customHeight="1" thickBot="1" x14ac:dyDescent="0.3"/>
    <row r="52" spans="2:15" ht="14.25" customHeight="1" thickTop="1" thickBot="1" x14ac:dyDescent="0.3">
      <c r="B52" s="138" t="s">
        <v>103</v>
      </c>
      <c r="C52" s="139">
        <f>C41</f>
        <v>0</v>
      </c>
      <c r="D52" s="139">
        <f t="shared" ref="D52:L52" si="20">D41</f>
        <v>1</v>
      </c>
      <c r="E52" s="139">
        <f t="shared" si="20"/>
        <v>2</v>
      </c>
      <c r="F52" s="139">
        <f t="shared" si="20"/>
        <v>3</v>
      </c>
      <c r="G52" s="139">
        <f t="shared" si="20"/>
        <v>4</v>
      </c>
      <c r="H52" s="139">
        <f t="shared" si="20"/>
        <v>5</v>
      </c>
      <c r="I52" s="139">
        <f t="shared" si="20"/>
        <v>6</v>
      </c>
      <c r="J52" s="139">
        <f t="shared" si="20"/>
        <v>7</v>
      </c>
      <c r="K52" s="139">
        <f t="shared" si="20"/>
        <v>8</v>
      </c>
      <c r="L52" s="139">
        <f t="shared" si="20"/>
        <v>9</v>
      </c>
      <c r="M52" s="139">
        <f>M41</f>
        <v>10</v>
      </c>
    </row>
    <row r="53" spans="2:15" ht="14.25" customHeight="1" thickTop="1" thickBot="1" x14ac:dyDescent="0.3">
      <c r="B53" s="201" t="s">
        <v>104</v>
      </c>
      <c r="C53" s="143" t="s">
        <v>105</v>
      </c>
      <c r="D53" s="144"/>
      <c r="E53" s="145"/>
      <c r="F53" s="146"/>
      <c r="G53" s="146"/>
      <c r="H53" s="146"/>
      <c r="I53" s="146"/>
      <c r="J53" s="146"/>
      <c r="K53" s="146"/>
      <c r="L53" s="146"/>
      <c r="M53" s="146"/>
    </row>
    <row r="54" spans="2:15" ht="14.25" customHeight="1" x14ac:dyDescent="0.25">
      <c r="B54" s="147" t="s">
        <v>105</v>
      </c>
      <c r="C54" s="202">
        <v>10</v>
      </c>
      <c r="D54" s="203">
        <f>C54</f>
        <v>10</v>
      </c>
      <c r="E54" s="203">
        <f t="shared" ref="E54:M54" si="21">D54</f>
        <v>10</v>
      </c>
      <c r="F54" s="203">
        <f t="shared" si="21"/>
        <v>10</v>
      </c>
      <c r="G54" s="203">
        <f t="shared" si="21"/>
        <v>10</v>
      </c>
      <c r="H54" s="203">
        <f t="shared" si="21"/>
        <v>10</v>
      </c>
      <c r="I54" s="203">
        <f t="shared" si="21"/>
        <v>10</v>
      </c>
      <c r="J54" s="203">
        <f t="shared" si="21"/>
        <v>10</v>
      </c>
      <c r="K54" s="203">
        <f t="shared" si="21"/>
        <v>10</v>
      </c>
      <c r="L54" s="203">
        <f t="shared" si="21"/>
        <v>10</v>
      </c>
      <c r="M54" s="204">
        <f t="shared" si="21"/>
        <v>10</v>
      </c>
    </row>
    <row r="55" spans="2:15" ht="14.25" customHeight="1" thickBot="1" x14ac:dyDescent="0.3">
      <c r="B55" s="165" t="s">
        <v>106</v>
      </c>
      <c r="C55" s="205">
        <v>15</v>
      </c>
      <c r="D55" s="206">
        <f ca="1">_xll.RiskLogistic(0.0073159,0.029684,_xll.RiskName("Corn_Price"))</f>
        <v>5.2261052973368721E-2</v>
      </c>
      <c r="E55" s="206">
        <v>15</v>
      </c>
      <c r="F55" s="206">
        <v>15</v>
      </c>
      <c r="G55" s="206">
        <v>15</v>
      </c>
      <c r="H55" s="206">
        <v>15</v>
      </c>
      <c r="I55" s="206">
        <v>15</v>
      </c>
      <c r="J55" s="206">
        <v>15</v>
      </c>
      <c r="K55" s="206">
        <v>15</v>
      </c>
      <c r="L55" s="206">
        <v>15</v>
      </c>
      <c r="M55" s="207">
        <v>15</v>
      </c>
    </row>
    <row r="56" spans="2:15" ht="14.25" customHeight="1" x14ac:dyDescent="0.25"/>
    <row r="57" spans="2:15" x14ac:dyDescent="0.25">
      <c r="B57" s="127" t="s">
        <v>10</v>
      </c>
    </row>
    <row r="58" spans="2:15" x14ac:dyDescent="0.25">
      <c r="B58" s="127" t="s">
        <v>11</v>
      </c>
    </row>
    <row r="59" spans="2:15" x14ac:dyDescent="0.25">
      <c r="B59" s="127" t="s">
        <v>12</v>
      </c>
    </row>
    <row r="61" spans="2:15" x14ac:dyDescent="0.25">
      <c r="B61" s="8" t="s">
        <v>107</v>
      </c>
      <c r="C61" s="8"/>
      <c r="D61" s="8"/>
      <c r="E61" s="8"/>
      <c r="F61" s="8"/>
      <c r="G61" s="8"/>
      <c r="H61" s="8"/>
      <c r="I61" s="8"/>
      <c r="J61" s="8"/>
      <c r="K61" s="8"/>
      <c r="L61" s="8"/>
      <c r="M61" s="8"/>
    </row>
    <row r="65" spans="15:16" x14ac:dyDescent="0.25">
      <c r="O65" s="208" t="s">
        <v>108</v>
      </c>
      <c r="P65" s="8"/>
    </row>
    <row r="66" spans="15:16" x14ac:dyDescent="0.25">
      <c r="O66" s="208" t="s">
        <v>109</v>
      </c>
      <c r="P66" s="180">
        <f ca="1">STDEV(C43:M43)</f>
        <v>0.56704352496015487</v>
      </c>
    </row>
    <row r="67" spans="15:16" x14ac:dyDescent="0.25">
      <c r="O67" s="208" t="s">
        <v>110</v>
      </c>
      <c r="P67" s="180">
        <f ca="1">STDEV(C45:M45)</f>
        <v>0.47781112447966223</v>
      </c>
    </row>
    <row r="68" spans="15:16" x14ac:dyDescent="0.25">
      <c r="O68" s="208" t="s">
        <v>111</v>
      </c>
      <c r="P68" s="180">
        <f ca="1">STDEV(C46:M46)</f>
        <v>0.3947600554402636</v>
      </c>
    </row>
    <row r="69" spans="15:16" x14ac:dyDescent="0.25">
      <c r="O69" s="208"/>
      <c r="P69" s="180"/>
    </row>
    <row r="70" spans="15:16" x14ac:dyDescent="0.25">
      <c r="O70" s="208"/>
      <c r="P70" s="180"/>
    </row>
  </sheetData>
  <conditionalFormatting sqref="E4">
    <cfRule type="expression" dxfId="53" priority="32" stopIfTrue="1">
      <formula>IF(RiskSelectedNameCell2=CELL("address",$E$4),TRUE)</formula>
    </cfRule>
  </conditionalFormatting>
  <conditionalFormatting sqref="B7">
    <cfRule type="expression" dxfId="52" priority="33" stopIfTrue="1">
      <formula>IF(RiskSelectedNameCell1=CELL("address",$B$7),TRUE)</formula>
    </cfRule>
    <cfRule type="expression" dxfId="51" priority="35" stopIfTrue="1">
      <formula>IF(RiskSelectedNameCell1=CELL("address",$B$7),TRUE)</formula>
    </cfRule>
  </conditionalFormatting>
  <conditionalFormatting sqref="K4">
    <cfRule type="expression" dxfId="50" priority="34" stopIfTrue="1">
      <formula>IF(RiskSelectedNameCell2=CELL("address",$K$4),TRUE)</formula>
    </cfRule>
  </conditionalFormatting>
  <conditionalFormatting sqref="B17">
    <cfRule type="expression" dxfId="49" priority="15" stopIfTrue="1">
      <formula>IF(RiskSelectedNameCell1=CELL("address",#REF!),TRUE)</formula>
    </cfRule>
    <cfRule type="expression" dxfId="48" priority="18" stopIfTrue="1">
      <formula>IF(RiskSelectedNameCell1=CELL("address",#REF!),TRUE)</formula>
    </cfRule>
  </conditionalFormatting>
  <conditionalFormatting sqref="B18">
    <cfRule type="expression" dxfId="47" priority="16" stopIfTrue="1">
      <formula>IF(RiskSelectedNameCell1=CELL("address",$B$9),TRUE)</formula>
    </cfRule>
    <cfRule type="expression" dxfId="46" priority="17" stopIfTrue="1">
      <formula>IF(RiskSelectedNameCell1=CELL("address",$B$9),TRUE)</formula>
    </cfRule>
  </conditionalFormatting>
  <conditionalFormatting sqref="B47">
    <cfRule type="expression" dxfId="45" priority="9" stopIfTrue="1">
      <formula>IF(RiskSelectedNameCell1=CELL("address",#REF!),TRUE)</formula>
    </cfRule>
    <cfRule type="expression" dxfId="44" priority="12" stopIfTrue="1">
      <formula>IF(RiskSelectedNameCell1=CELL("address",#REF!),TRUE)</formula>
    </cfRule>
  </conditionalFormatting>
  <conditionalFormatting sqref="B48">
    <cfRule type="expression" dxfId="43" priority="10" stopIfTrue="1">
      <formula>IF(RiskSelectedNameCell1=CELL("address",$B$9),TRUE)</formula>
    </cfRule>
    <cfRule type="expression" dxfId="42" priority="11" stopIfTrue="1">
      <formula>IF(RiskSelectedNameCell1=CELL("address",$B$9),TRUE)</formula>
    </cfRule>
  </conditionalFormatting>
  <conditionalFormatting sqref="B43:B44">
    <cfRule type="expression" dxfId="41" priority="36" stopIfTrue="1">
      <formula>IF(RiskSelectedNameCell1=CELL("address",$B$43),TRUE)</formula>
    </cfRule>
  </conditionalFormatting>
  <conditionalFormatting sqref="B43:B44">
    <cfRule type="expression" dxfId="37" priority="40" stopIfTrue="1">
      <formula>IF(RiskSelectedNameCell1=CELL("address",$B$43),TRUE)</formula>
    </cfRule>
  </conditionalFormatting>
  <conditionalFormatting sqref="B16">
    <cfRule type="expression" dxfId="36" priority="41" stopIfTrue="1">
      <formula>IF(RiskSelectedNameCell1=CELL("address",$B$16),TRUE)</formula>
    </cfRule>
  </conditionalFormatting>
  <conditionalFormatting sqref="B35">
    <cfRule type="expression" dxfId="34" priority="43" stopIfTrue="1">
      <formula>IF(RiskSelectedNameCell1=CELL("address",$B$35),TRUE)</formula>
    </cfRule>
  </conditionalFormatting>
  <conditionalFormatting sqref="B36">
    <cfRule type="expression" dxfId="33" priority="44" stopIfTrue="1">
      <formula>IF(RiskSelectedNameCell1=CELL("address",$B$36),TRUE)</formula>
    </cfRule>
  </conditionalFormatting>
  <conditionalFormatting sqref="B35">
    <cfRule type="expression" dxfId="32" priority="45" stopIfTrue="1">
      <formula>IF(RiskSelectedNameCell1=CELL("address",$B$35),TRUE)</formula>
    </cfRule>
  </conditionalFormatting>
  <conditionalFormatting sqref="B32">
    <cfRule type="expression" dxfId="31" priority="46" stopIfTrue="1">
      <formula>IF(RiskSelectedNameCell1=CELL("address",$B$32),TRUE)</formula>
    </cfRule>
  </conditionalFormatting>
  <conditionalFormatting sqref="B36">
    <cfRule type="expression" dxfId="29" priority="48" stopIfTrue="1">
      <formula>IF(RiskSelectedNameCell1=CELL("address",$B$36),TRUE)</formula>
    </cfRule>
  </conditionalFormatting>
  <conditionalFormatting sqref="B33:B34">
    <cfRule type="expression" dxfId="28" priority="49" stopIfTrue="1">
      <formula>IF(RiskSelectedNameCell1=CELL("address",$B$33),TRUE)</formula>
    </cfRule>
  </conditionalFormatting>
  <conditionalFormatting sqref="B26">
    <cfRule type="expression" dxfId="27" priority="51" stopIfTrue="1">
      <formula>IF(RiskSelectedNameCell1=CELL("address",$B$26),TRUE)</formula>
    </cfRule>
  </conditionalFormatting>
  <conditionalFormatting sqref="D4">
    <cfRule type="expression" dxfId="26" priority="53" stopIfTrue="1">
      <formula>IF(RiskSelectedNameCell2=CELL("address",$D$4),TRUE)</formula>
    </cfRule>
  </conditionalFormatting>
  <conditionalFormatting sqref="B6">
    <cfRule type="expression" dxfId="25" priority="54" stopIfTrue="1">
      <formula>IF(RiskSelectedNameCell1=CELL("address",$B$6),TRUE)</formula>
    </cfRule>
    <cfRule type="expression" dxfId="24" priority="59" stopIfTrue="1">
      <formula>IF(RiskSelectedNameCell1=CELL("address",$B$6),TRUE)</formula>
    </cfRule>
  </conditionalFormatting>
  <conditionalFormatting sqref="B9">
    <cfRule type="expression" dxfId="23" priority="55" stopIfTrue="1">
      <formula>IF(RiskSelectedNameCell1=CELL("address",$B$9),TRUE)</formula>
    </cfRule>
  </conditionalFormatting>
  <conditionalFormatting sqref="B8">
    <cfRule type="expression" dxfId="22" priority="58" stopIfTrue="1">
      <formula>IF(RiskSelectedNameCell1=CELL("address",$B$8),TRUE)</formula>
    </cfRule>
  </conditionalFormatting>
  <conditionalFormatting sqref="M4">
    <cfRule type="expression" dxfId="21" priority="60" stopIfTrue="1">
      <formula>IF(RiskSelectedNameCell2=CELL("address",$M$4),TRUE)</formula>
    </cfRule>
  </conditionalFormatting>
  <conditionalFormatting sqref="B54">
    <cfRule type="expression" dxfId="20" priority="6" stopIfTrue="1">
      <formula>IF(RiskSelectedNameCell1=CELL("address",$B$43),TRUE)</formula>
    </cfRule>
  </conditionalFormatting>
  <conditionalFormatting sqref="B54">
    <cfRule type="expression" dxfId="19" priority="7" stopIfTrue="1">
      <formula>IF(RiskSelectedNameCell1=CELL("address",$B$43),TRUE)</formula>
    </cfRule>
  </conditionalFormatting>
  <conditionalFormatting sqref="B55">
    <cfRule type="expression" dxfId="18" priority="2" stopIfTrue="1">
      <formula>IF(RiskSelectedNameCell1=CELL("address",$B$43),TRUE)</formula>
    </cfRule>
  </conditionalFormatting>
  <conditionalFormatting sqref="B55">
    <cfRule type="expression" dxfId="17" priority="3" stopIfTrue="1">
      <formula>IF(RiskSelectedNameCell1=CELL("address",$B$43),TRUE)</formula>
    </cfRule>
  </conditionalFormatting>
  <conditionalFormatting sqref="B15">
    <cfRule type="expression" dxfId="16" priority="62" stopIfTrue="1">
      <formula>IF(RiskSelectedNameCell1=CELL("address",$B$15),TRUE)</formula>
    </cfRule>
  </conditionalFormatting>
  <dataValidations count="7">
    <dataValidation type="list" allowBlank="1" showErrorMessage="1" sqref="C53">
      <formula1>$B$54:$B$55</formula1>
    </dataValidation>
    <dataValidation type="list" allowBlank="1" showErrorMessage="1" sqref="C42">
      <formula1>$B$43:$B$50</formula1>
    </dataValidation>
    <dataValidation type="list" allowBlank="1" showErrorMessage="1" sqref="C23">
      <formula1>$B$26:$B$28</formula1>
    </dataValidation>
    <dataValidation allowBlank="1" showErrorMessage="1" sqref="D25:M25 C24:C25"/>
    <dataValidation type="list" allowBlank="1" showErrorMessage="1" sqref="C5">
      <formula1>$B$6:$B$11</formula1>
    </dataValidation>
    <dataValidation type="list" allowBlank="1" showErrorMessage="1" sqref="C14">
      <formula1>$B$15:$B$20</formula1>
    </dataValidation>
    <dataValidation type="list" allowBlank="1" showErrorMessage="1" sqref="C31">
      <formula1>$B$32:$B$39</formula1>
    </dataValidation>
  </dataValidations>
  <pageMargins left="0.7" right="0.7" top="0.75" bottom="0.75" header="0.3" footer="0.3"/>
  <pageSetup orientation="portrait" r:id="rId1"/>
  <legacyDrawing r:id="rId2"/>
  <extLst>
    <ext xmlns:x14="http://schemas.microsoft.com/office/spreadsheetml/2009/9/main" uri="{78C0D931-6437-407d-A8EE-F0AAD7539E65}">
      <x14:conditionalFormattings>
        <x14:conditionalFormatting xmlns:xm="http://schemas.microsoft.com/office/excel/2006/main">
          <x14:cfRule type="containsText" priority="27" operator="containsText" id="{F0CE1DFC-8E48-4934-B49C-40448CB3D172}">
            <xm:f>NOT(ISERROR(SEARCH($C$5,B12)))</xm:f>
            <xm:f>$C$5</xm:f>
            <x14:dxf>
              <font>
                <b/>
                <i val="0"/>
                <color theme="1"/>
              </font>
              <fill>
                <patternFill>
                  <bgColor rgb="FFFFFF99"/>
                </patternFill>
              </fill>
              <border>
                <left style="thin">
                  <color theme="1"/>
                </left>
                <right style="thin">
                  <color theme="1"/>
                </right>
                <top style="thin">
                  <color theme="1"/>
                </top>
                <bottom style="thin">
                  <color theme="1"/>
                </bottom>
              </border>
            </x14:dxf>
          </x14:cfRule>
          <xm:sqref>B12:B13</xm:sqref>
        </x14:conditionalFormatting>
        <x14:conditionalFormatting xmlns:xm="http://schemas.microsoft.com/office/excel/2006/main">
          <x14:cfRule type="containsText" priority="26" operator="containsText" id="{A910A4DC-2A5F-4D9B-AE96-4F5CBA093B74}">
            <xm:f>NOT(ISERROR(SEARCH($C$14,B21)))</xm:f>
            <xm:f>$C$14</xm:f>
            <x14:dxf>
              <font>
                <b/>
                <i val="0"/>
                <color theme="1"/>
              </font>
              <fill>
                <patternFill>
                  <bgColor rgb="FFFFFF99"/>
                </patternFill>
              </fill>
              <border>
                <left style="thin">
                  <color theme="1"/>
                </left>
                <right style="thin">
                  <color theme="1"/>
                </right>
                <top style="thin">
                  <color theme="1"/>
                </top>
                <bottom style="thin">
                  <color theme="1"/>
                </bottom>
              </border>
            </x14:dxf>
          </x14:cfRule>
          <xm:sqref>B21 B29</xm:sqref>
        </x14:conditionalFormatting>
        <x14:conditionalFormatting xmlns:xm="http://schemas.microsoft.com/office/excel/2006/main">
          <x14:cfRule type="containsText" priority="25" operator="containsText" id="{7E4FD6B7-B834-4030-B9BB-BB2C467FA956}">
            <xm:f>NOT(ISERROR(SEARCH($C$31,B32)))</xm:f>
            <xm:f>$C$31</xm:f>
            <x14:dxf>
              <font>
                <b/>
                <i val="0"/>
                <color theme="1"/>
              </font>
              <fill>
                <patternFill>
                  <bgColor rgb="FFFFFF99"/>
                </patternFill>
              </fill>
              <border>
                <left style="thin">
                  <color theme="1"/>
                </left>
                <right style="thin">
                  <color theme="1"/>
                </right>
                <top style="thin">
                  <color theme="1"/>
                </top>
                <bottom style="thin">
                  <color theme="1"/>
                </bottom>
              </border>
            </x14:dxf>
          </x14:cfRule>
          <xm:sqref>B32 B37:B40</xm:sqref>
        </x14:conditionalFormatting>
        <x14:conditionalFormatting xmlns:xm="http://schemas.microsoft.com/office/excel/2006/main">
          <x14:cfRule type="containsText" priority="28" operator="containsText" id="{31269FD9-98F2-4D8D-8546-2540C7628924}">
            <xm:f>NOT(ISERROR(SEARCH('\Users\nemo\Documents\2.0 CLIENT PROJECTS\2.1.6 DSM LIBERTY\Comparitive_Cases\[Comparitive_Model-v30.xlsx]Variables'!#REF!,B30)))</xm:f>
            <xm:f>'\Users\nemo\Documents\2.0 CLIENT PROJECTS\2.1.6 DSM LIBERTY\Comparitive_Cases\[Comparitive_Model-v30.xlsx]Variables'!#REF!</xm:f>
            <x14:dxf>
              <fill>
                <patternFill>
                  <bgColor rgb="FFFFFF99"/>
                </patternFill>
              </fill>
            </x14:dxf>
          </x14:cfRule>
          <xm:sqref>B30 B41</xm:sqref>
        </x14:conditionalFormatting>
        <x14:conditionalFormatting xmlns:xm="http://schemas.microsoft.com/office/excel/2006/main">
          <x14:cfRule type="containsText" priority="24" operator="containsText" id="{BE14D210-7FB9-4662-8B41-285CB2A5AE76}">
            <xm:f>NOT(ISERROR(SEARCH($C$5,B22)))</xm:f>
            <xm:f>$C$5</xm:f>
            <x14:dxf>
              <font>
                <b/>
                <i val="0"/>
                <color theme="1"/>
              </font>
              <fill>
                <patternFill>
                  <bgColor rgb="FFFFFF99"/>
                </patternFill>
              </fill>
              <border>
                <left style="thin">
                  <color theme="1"/>
                </left>
                <right style="thin">
                  <color theme="1"/>
                </right>
                <top style="thin">
                  <color theme="1"/>
                </top>
                <bottom style="thin">
                  <color theme="1"/>
                </bottom>
              </border>
            </x14:dxf>
          </x14:cfRule>
          <xm:sqref>B22</xm:sqref>
        </x14:conditionalFormatting>
        <x14:conditionalFormatting xmlns:xm="http://schemas.microsoft.com/office/excel/2006/main">
          <x14:cfRule type="containsText" priority="23" operator="containsText" id="{A533B5CE-376C-4155-A8FF-F44FF37AA455}">
            <xm:f>NOT(ISERROR(SEARCH($C$5,B6)))</xm:f>
            <xm:f>$C$5</xm:f>
            <x14:dxf>
              <font>
                <color rgb="FF9C6500"/>
              </font>
              <fill>
                <patternFill>
                  <bgColor rgb="FFFFEB9C"/>
                </patternFill>
              </fill>
            </x14:dxf>
          </x14:cfRule>
          <xm:sqref>B6:B11</xm:sqref>
        </x14:conditionalFormatting>
        <x14:conditionalFormatting xmlns:xm="http://schemas.microsoft.com/office/excel/2006/main">
          <x14:cfRule type="containsText" priority="22" operator="containsText" id="{3EB09238-D245-41FB-80F5-5541E3B0EB56}">
            <xm:f>NOT(ISERROR(SEARCH($C$14,B15)))</xm:f>
            <xm:f>$C$14</xm:f>
            <x14:dxf>
              <font>
                <color rgb="FF9C6500"/>
              </font>
              <fill>
                <patternFill>
                  <bgColor rgb="FFFFEB9C"/>
                </patternFill>
              </fill>
            </x14:dxf>
          </x14:cfRule>
          <xm:sqref>B19:B20 B15:B16</xm:sqref>
        </x14:conditionalFormatting>
        <x14:conditionalFormatting xmlns:xm="http://schemas.microsoft.com/office/excel/2006/main">
          <x14:cfRule type="containsText" priority="21" operator="containsText" id="{CBBC59B7-35FD-4495-8C4E-DEBAEB667575}">
            <xm:f>NOT(ISERROR(SEARCH($C$23,B26)))</xm:f>
            <xm:f>$C$23</xm:f>
            <x14:dxf>
              <font>
                <color rgb="FF9C6500"/>
              </font>
              <fill>
                <patternFill>
                  <bgColor rgb="FFFFEB9C"/>
                </patternFill>
              </fill>
            </x14:dxf>
          </x14:cfRule>
          <xm:sqref>B26:B28</xm:sqref>
        </x14:conditionalFormatting>
        <x14:conditionalFormatting xmlns:xm="http://schemas.microsoft.com/office/excel/2006/main">
          <x14:cfRule type="containsText" priority="20" operator="containsText" id="{07158052-27C5-40B3-B900-B3DB5301EBDD}">
            <xm:f>NOT(ISERROR(SEARCH($C$31,B32)))</xm:f>
            <xm:f>$C$31</xm:f>
            <x14:dxf>
              <font>
                <color rgb="FF9C6500"/>
              </font>
              <fill>
                <patternFill>
                  <bgColor rgb="FFFFEB9C"/>
                </patternFill>
              </fill>
            </x14:dxf>
          </x14:cfRule>
          <xm:sqref>B32:B34 B37:B39</xm:sqref>
        </x14:conditionalFormatting>
        <x14:conditionalFormatting xmlns:xm="http://schemas.microsoft.com/office/excel/2006/main">
          <x14:cfRule type="containsText" priority="19" operator="containsText" id="{07BD440C-1DE2-41AA-A35A-D90A3636BE53}">
            <xm:f>NOT(ISERROR(SEARCH($C$42,B43)))</xm:f>
            <xm:f>$C$42</xm:f>
            <x14:dxf>
              <font>
                <color rgb="FF9C6500"/>
              </font>
              <fill>
                <patternFill>
                  <bgColor rgb="FFFFEB9C"/>
                </patternFill>
              </fill>
            </x14:dxf>
          </x14:cfRule>
          <xm:sqref>B49:B50 B43:B46</xm:sqref>
        </x14:conditionalFormatting>
        <x14:conditionalFormatting xmlns:xm="http://schemas.microsoft.com/office/excel/2006/main">
          <x14:cfRule type="containsText" priority="14" operator="containsText" id="{86913CC2-2271-4F8E-A52A-96B2302D6E82}">
            <xm:f>NOT(ISERROR(SEARCH($C$5,B17)))</xm:f>
            <xm:f>$C$5</xm:f>
            <x14:dxf>
              <font>
                <color rgb="FF9C6500"/>
              </font>
              <fill>
                <patternFill>
                  <bgColor rgb="FFFFEB9C"/>
                </patternFill>
              </fill>
            </x14:dxf>
          </x14:cfRule>
          <xm:sqref>B17:B18</xm:sqref>
        </x14:conditionalFormatting>
        <x14:conditionalFormatting xmlns:xm="http://schemas.microsoft.com/office/excel/2006/main">
          <x14:cfRule type="containsText" priority="13" operator="containsText" id="{6A872F83-275B-479C-AA19-60749F45F689}">
            <xm:f>NOT(ISERROR(SEARCH($C$5,B35)))</xm:f>
            <xm:f>$C$5</xm:f>
            <x14:dxf>
              <font>
                <color rgb="FF9C6500"/>
              </font>
              <fill>
                <patternFill>
                  <bgColor rgb="FFFFEB9C"/>
                </patternFill>
              </fill>
            </x14:dxf>
          </x14:cfRule>
          <xm:sqref>B35:B36</xm:sqref>
        </x14:conditionalFormatting>
        <x14:conditionalFormatting xmlns:xm="http://schemas.microsoft.com/office/excel/2006/main">
          <x14:cfRule type="containsText" priority="8" operator="containsText" id="{E3572B73-DF47-481B-8FA0-6A32DD299B00}">
            <xm:f>NOT(ISERROR(SEARCH($C$5,B47)))</xm:f>
            <xm:f>$C$5</xm:f>
            <x14:dxf>
              <font>
                <color rgb="FF9C6500"/>
              </font>
              <fill>
                <patternFill>
                  <bgColor rgb="FFFFEB9C"/>
                </patternFill>
              </fill>
            </x14:dxf>
          </x14:cfRule>
          <xm:sqref>B47:B48</xm:sqref>
        </x14:conditionalFormatting>
        <x14:conditionalFormatting xmlns:xm="http://schemas.microsoft.com/office/excel/2006/main">
          <x14:cfRule type="containsText" priority="5" operator="containsText" id="{FEC45F9A-24BE-4A39-9BA3-B2CC65AE19AB}">
            <xm:f>NOT(ISERROR(SEARCH('\Users\nemo\Documents\2.0 CLIENT PROJECTS\2.1.6 DSM LIBERTY\Comparitive_Cases\[Comparitive_Model-v30.xlsx]Variables'!#REF!,B52)))</xm:f>
            <xm:f>'\Users\nemo\Documents\2.0 CLIENT PROJECTS\2.1.6 DSM LIBERTY\Comparitive_Cases\[Comparitive_Model-v30.xlsx]Variables'!#REF!</xm:f>
            <x14:dxf>
              <fill>
                <patternFill>
                  <bgColor rgb="FFFFFF99"/>
                </patternFill>
              </fill>
            </x14:dxf>
          </x14:cfRule>
          <xm:sqref>B52</xm:sqref>
        </x14:conditionalFormatting>
        <x14:conditionalFormatting xmlns:xm="http://schemas.microsoft.com/office/excel/2006/main">
          <x14:cfRule type="containsText" priority="4" operator="containsText" id="{C0F8AB75-E15B-4DFE-9435-5AA399B199FE}">
            <xm:f>NOT(ISERROR(SEARCH($C$42,B54)))</xm:f>
            <xm:f>$C$42</xm:f>
            <x14:dxf>
              <font>
                <color rgb="FF9C6500"/>
              </font>
              <fill>
                <patternFill>
                  <bgColor rgb="FFFFEB9C"/>
                </patternFill>
              </fill>
            </x14:dxf>
          </x14:cfRule>
          <xm:sqref>B54</xm:sqref>
        </x14:conditionalFormatting>
        <x14:conditionalFormatting xmlns:xm="http://schemas.microsoft.com/office/excel/2006/main">
          <x14:cfRule type="containsText" priority="1" operator="containsText" id="{CB70563E-4459-48C2-A918-8F2F6B887D2A}">
            <xm:f>NOT(ISERROR(SEARCH($C$42,B55)))</xm:f>
            <xm:f>$C$42</xm:f>
            <x14:dxf>
              <font>
                <color rgb="FF9C6500"/>
              </font>
              <fill>
                <patternFill>
                  <bgColor rgb="FFFFEB9C"/>
                </patternFill>
              </fill>
            </x14:dxf>
          </x14:cfRule>
          <xm:sqref>B55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FF00"/>
  </sheetPr>
  <dimension ref="A1:S210"/>
  <sheetViews>
    <sheetView zoomScale="80" zoomScaleNormal="80" workbookViewId="0">
      <selection activeCell="K53" sqref="K53"/>
    </sheetView>
  </sheetViews>
  <sheetFormatPr defaultRowHeight="12.75" x14ac:dyDescent="0.2"/>
  <cols>
    <col min="1" max="1" width="11.42578125" style="72" customWidth="1"/>
    <col min="7" max="7" width="5.85546875" customWidth="1"/>
    <col min="12" max="12" width="13.7109375" customWidth="1"/>
    <col min="13" max="13" width="16" customWidth="1"/>
    <col min="14" max="14" width="3.42578125" customWidth="1"/>
    <col min="16" max="16" width="3.85546875" customWidth="1"/>
    <col min="17" max="17" width="5.140625" customWidth="1"/>
    <col min="18" max="18" width="4.85546875" customWidth="1"/>
  </cols>
  <sheetData>
    <row r="1" spans="1:17" ht="16.5" thickTop="1" thickBot="1" x14ac:dyDescent="0.3">
      <c r="A1" s="68" t="s">
        <v>41</v>
      </c>
      <c r="B1" s="7" t="s">
        <v>42</v>
      </c>
      <c r="C1" s="7" t="s">
        <v>43</v>
      </c>
      <c r="D1" s="7" t="s">
        <v>44</v>
      </c>
      <c r="E1" s="7" t="s">
        <v>45</v>
      </c>
      <c r="F1" s="7" t="s">
        <v>46</v>
      </c>
      <c r="H1" s="69" t="s">
        <v>47</v>
      </c>
      <c r="I1" s="70"/>
      <c r="J1" s="70"/>
      <c r="K1" s="70"/>
      <c r="L1" s="70"/>
      <c r="M1" s="71"/>
      <c r="O1" s="4"/>
    </row>
    <row r="2" spans="1:17" ht="16.5" thickTop="1" thickBot="1" x14ac:dyDescent="0.3">
      <c r="A2" s="72">
        <v>38996</v>
      </c>
      <c r="B2" s="73">
        <f>Historical_Prices!D9</f>
        <v>1.5666116744399456E-2</v>
      </c>
      <c r="C2" s="73">
        <f>Historical_Prices!F9</f>
        <v>5.7351296471465599E-2</v>
      </c>
      <c r="D2" s="73">
        <f>Historical_Prices!H9</f>
        <v>6.4392652856370206E-2</v>
      </c>
      <c r="E2" s="73">
        <f>Historical_Prices!J9</f>
        <v>-6.8290727499422301E-3</v>
      </c>
      <c r="F2" s="73">
        <f>Historical_Prices!L9</f>
        <v>-1.8776221465943359E-2</v>
      </c>
      <c r="H2" s="74"/>
      <c r="I2" s="75" t="s">
        <v>1</v>
      </c>
      <c r="J2" s="76" t="s">
        <v>2</v>
      </c>
      <c r="K2" s="76" t="s">
        <v>48</v>
      </c>
      <c r="L2" s="76" t="s">
        <v>4</v>
      </c>
      <c r="M2" s="77" t="s">
        <v>49</v>
      </c>
      <c r="O2" s="78" t="s">
        <v>50</v>
      </c>
      <c r="Q2" s="2"/>
    </row>
    <row r="3" spans="1:17" ht="15.75" thickBot="1" x14ac:dyDescent="0.3">
      <c r="A3" s="72">
        <v>39003</v>
      </c>
      <c r="B3" s="73">
        <f>Historical_Prices!D10</f>
        <v>4.5577508496319155E-2</v>
      </c>
      <c r="C3" s="73">
        <f>Historical_Prices!F10</f>
        <v>5.423976893699687E-2</v>
      </c>
      <c r="D3" s="73">
        <f>Historical_Prices!H10</f>
        <v>8.0379294684455468E-2</v>
      </c>
      <c r="E3" s="73">
        <f>Historical_Prices!J10</f>
        <v>1.2258950344311612E-2</v>
      </c>
      <c r="F3" s="73">
        <f>Historical_Prices!L10</f>
        <v>2.0711955713437796E-2</v>
      </c>
      <c r="H3" s="79" t="s">
        <v>1</v>
      </c>
      <c r="I3" s="80">
        <v>1</v>
      </c>
      <c r="J3" s="81"/>
      <c r="K3" s="82"/>
      <c r="L3" s="83"/>
      <c r="M3" s="84"/>
      <c r="O3" s="85">
        <f>(I4+I5+J5+I6+J6+K6+I7+J7+K7+L7)/10</f>
        <v>0.43567454548696827</v>
      </c>
      <c r="Q3" s="2"/>
    </row>
    <row r="4" spans="1:17" ht="15.75" thickBot="1" x14ac:dyDescent="0.3">
      <c r="A4" s="72">
        <v>39010</v>
      </c>
      <c r="B4" s="73">
        <f>Historical_Prices!D11</f>
        <v>1.9608471388376337E-2</v>
      </c>
      <c r="C4" s="73">
        <f>Historical_Prices!F11</f>
        <v>9.2736367853290327E-3</v>
      </c>
      <c r="D4" s="73">
        <f>Historical_Prices!H11</f>
        <v>7.7204061317346265E-2</v>
      </c>
      <c r="E4" s="73">
        <f>Historical_Prices!J11</f>
        <v>9.0212004313770713E-4</v>
      </c>
      <c r="F4" s="73">
        <f>Historical_Prices!L11</f>
        <v>-4.0693787384396369E-3</v>
      </c>
      <c r="H4" s="86" t="s">
        <v>2</v>
      </c>
      <c r="I4" s="87">
        <f>CORREL(D2:D210,C2:C210)</f>
        <v>0.75384059852340868</v>
      </c>
      <c r="J4" s="80">
        <v>1</v>
      </c>
      <c r="K4" s="88"/>
      <c r="L4" s="89"/>
      <c r="M4" s="90"/>
      <c r="Q4" s="2"/>
    </row>
    <row r="5" spans="1:17" ht="15.75" thickBot="1" x14ac:dyDescent="0.3">
      <c r="A5" s="72">
        <v>39017</v>
      </c>
      <c r="B5" s="73">
        <f>Historical_Prices!D12</f>
        <v>1.9231361927887592E-2</v>
      </c>
      <c r="C5" s="73">
        <f>Historical_Prices!F12</f>
        <v>2.7315810646962924E-2</v>
      </c>
      <c r="D5" s="73">
        <f>Historical_Prices!H12</f>
        <v>6.1174223369153603E-2</v>
      </c>
      <c r="E5" s="73">
        <f>Historical_Prices!J12</f>
        <v>1.3516559841152537E-3</v>
      </c>
      <c r="F5" s="73">
        <f>Historical_Prices!L12</f>
        <v>-2.1193885909916645E-2</v>
      </c>
      <c r="H5" s="86" t="s">
        <v>48</v>
      </c>
      <c r="I5" s="91">
        <f>CORREL(E2:E210, C2:C210)</f>
        <v>0.31390543454620906</v>
      </c>
      <c r="J5" s="92">
        <f>CORREL(D2:D210, E2:E210)</f>
        <v>0.27686030806948614</v>
      </c>
      <c r="K5" s="80">
        <v>1</v>
      </c>
      <c r="L5" s="88"/>
      <c r="M5" s="90"/>
      <c r="Q5" s="2"/>
    </row>
    <row r="6" spans="1:17" ht="15.75" thickBot="1" x14ac:dyDescent="0.3">
      <c r="A6" s="72">
        <v>39024</v>
      </c>
      <c r="B6" s="73">
        <f>Historical_Prices!D13</f>
        <v>0</v>
      </c>
      <c r="C6" s="73">
        <f>Historical_Prices!F13</f>
        <v>4.1061486797773918E-2</v>
      </c>
      <c r="D6" s="73">
        <f>Historical_Prices!H13</f>
        <v>3.8797969540982628E-2</v>
      </c>
      <c r="E6" s="73">
        <f>Historical_Prices!J13</f>
        <v>2.4901242169312127E-2</v>
      </c>
      <c r="F6" s="73">
        <f>Historical_Prices!L13</f>
        <v>6.0041116332432698E-2</v>
      </c>
      <c r="H6" s="86" t="s">
        <v>4</v>
      </c>
      <c r="I6" s="93">
        <f>CORREL(C2:C210, B2:B210)</f>
        <v>0.56639160533837862</v>
      </c>
      <c r="J6" s="94">
        <f>CORREL(D2:D210, B2:B210)</f>
        <v>0.72963481398779007</v>
      </c>
      <c r="K6" s="92">
        <f>CORREL(E2:E210, B2:B210)</f>
        <v>0.27766085824559067</v>
      </c>
      <c r="L6" s="80">
        <v>1</v>
      </c>
      <c r="M6" s="95"/>
      <c r="Q6" s="2"/>
    </row>
    <row r="7" spans="1:17" ht="15.75" thickBot="1" x14ac:dyDescent="0.3">
      <c r="A7" s="72">
        <v>39031</v>
      </c>
      <c r="B7" s="73">
        <f>Historical_Prices!D14</f>
        <v>1.8868484304382736E-2</v>
      </c>
      <c r="C7" s="73">
        <f>Historical_Prices!F14</f>
        <v>-1.7391742711869222E-2</v>
      </c>
      <c r="D7" s="73">
        <f>Historical_Prices!H14</f>
        <v>6.149478160780629E-2</v>
      </c>
      <c r="E7" s="73">
        <f>Historical_Prices!J14</f>
        <v>-4.4014155562107343E-3</v>
      </c>
      <c r="F7" s="73">
        <f>Historical_Prices!L14</f>
        <v>3.685447799343259E-2</v>
      </c>
      <c r="H7" s="96" t="s">
        <v>49</v>
      </c>
      <c r="I7" s="97">
        <f>CORREL(C2:C210, F2:F210)</f>
        <v>0.3160133604674002</v>
      </c>
      <c r="J7" s="98">
        <f>CORREL(D2:D210, F2:F210)</f>
        <v>0.24062440602915572</v>
      </c>
      <c r="K7" s="99">
        <f>CORREL(E2:E210, F2:F210)</f>
        <v>0.70723122325289756</v>
      </c>
      <c r="L7" s="100">
        <f>CORREL(B2:B210, F2:F210)</f>
        <v>0.17458284640936575</v>
      </c>
      <c r="M7" s="101">
        <v>1</v>
      </c>
      <c r="Q7" s="2"/>
    </row>
    <row r="8" spans="1:17" ht="14.25" thickTop="1" thickBot="1" x14ac:dyDescent="0.25">
      <c r="A8" s="72">
        <v>39038</v>
      </c>
      <c r="B8" s="73">
        <f>Historical_Prices!D15</f>
        <v>3.6701366850427963E-2</v>
      </c>
      <c r="C8" s="73">
        <f>Historical_Prices!F15</f>
        <v>-1.176484157958637E-2</v>
      </c>
      <c r="D8" s="73">
        <f>Historical_Prices!H15</f>
        <v>8.7094770654422282E-3</v>
      </c>
      <c r="E8" s="73">
        <f>Historical_Prices!J15</f>
        <v>1.0094446040756365E-2</v>
      </c>
      <c r="F8" s="73">
        <f>Historical_Prices!L15</f>
        <v>-1.3775820535314605E-2</v>
      </c>
      <c r="H8" s="102"/>
      <c r="I8" s="102"/>
      <c r="J8" s="102"/>
      <c r="K8" s="102"/>
      <c r="L8" s="102"/>
      <c r="M8" s="102"/>
      <c r="N8" s="102"/>
      <c r="O8" s="102"/>
      <c r="P8" s="102"/>
    </row>
    <row r="9" spans="1:17" ht="15.75" thickBot="1" x14ac:dyDescent="0.3">
      <c r="A9" s="72">
        <v>39045</v>
      </c>
      <c r="B9" s="73">
        <f>Historical_Prices!D16</f>
        <v>2.2272635609123223E-2</v>
      </c>
      <c r="C9" s="73">
        <f>Historical_Prices!F16</f>
        <v>2.9542118974316043E-3</v>
      </c>
      <c r="D9" s="73">
        <f>Historical_Prices!H16</f>
        <v>-2.7629778777159375E-3</v>
      </c>
      <c r="E9" s="73">
        <f>Historical_Prices!J16</f>
        <v>5.6608032723998664E-3</v>
      </c>
      <c r="F9" s="73">
        <f>Historical_Prices!L16</f>
        <v>5.4605159343007791E-3</v>
      </c>
      <c r="H9" s="69" t="s">
        <v>51</v>
      </c>
      <c r="I9" s="70"/>
      <c r="J9" s="70"/>
      <c r="K9" s="70"/>
      <c r="L9" s="70"/>
      <c r="M9" s="71"/>
    </row>
    <row r="10" spans="1:17" ht="15.75" thickBot="1" x14ac:dyDescent="0.3">
      <c r="A10" s="72">
        <v>39052</v>
      </c>
      <c r="B10" s="73">
        <f>Historical_Prices!D17</f>
        <v>2.6088436084297874E-2</v>
      </c>
      <c r="C10" s="73">
        <f>Historical_Prices!F17</f>
        <v>4.0467949552846424E-2</v>
      </c>
      <c r="D10" s="73">
        <f>Historical_Prices!H17</f>
        <v>-3.9604012160969048E-3</v>
      </c>
      <c r="E10" s="73">
        <f>Historical_Prices!J17</f>
        <v>-3.044142381228244E-3</v>
      </c>
      <c r="F10" s="73">
        <f>Historical_Prices!L17</f>
        <v>-1.9984164920350794E-2</v>
      </c>
      <c r="H10" s="69"/>
      <c r="I10" s="76" t="s">
        <v>1</v>
      </c>
      <c r="J10" s="76" t="s">
        <v>2</v>
      </c>
      <c r="K10" s="76" t="s">
        <v>48</v>
      </c>
      <c r="L10" s="76" t="s">
        <v>4</v>
      </c>
      <c r="M10" s="77" t="s">
        <v>49</v>
      </c>
      <c r="O10" s="80" t="s">
        <v>50</v>
      </c>
    </row>
    <row r="11" spans="1:17" ht="15.75" thickBot="1" x14ac:dyDescent="0.3">
      <c r="A11" s="72">
        <v>39059</v>
      </c>
      <c r="B11" s="73">
        <f>Historical_Prices!D63</f>
        <v>2.9500664396698056E-2</v>
      </c>
      <c r="C11" s="73">
        <f>Historical_Prices!F63</f>
        <v>2.8050509276084604E-3</v>
      </c>
      <c r="D11" s="73">
        <f>Historical_Prices!H63</f>
        <v>2.3256862164267183E-2</v>
      </c>
      <c r="E11" s="73">
        <f>Historical_Prices!J63</f>
        <v>-7.769543778407096E-3</v>
      </c>
      <c r="F11" s="73">
        <f>Historical_Prices!L63</f>
        <v>-1.9409058345760767E-2</v>
      </c>
      <c r="H11" s="79" t="s">
        <v>1</v>
      </c>
      <c r="I11" s="80">
        <v>1</v>
      </c>
      <c r="J11" s="81"/>
      <c r="K11" s="82"/>
      <c r="L11" s="82"/>
      <c r="M11" s="84"/>
      <c r="O11" s="85">
        <f>(I12+I13+J13+I14+J14+K14+I15+J15+K15+L15)/10</f>
        <v>0.1741266122072091</v>
      </c>
    </row>
    <row r="12" spans="1:17" ht="15.75" thickBot="1" x14ac:dyDescent="0.3">
      <c r="A12" s="72">
        <v>39066</v>
      </c>
      <c r="B12" s="73">
        <f>Historical_Prices!D19</f>
        <v>-1.2903404835907841E-2</v>
      </c>
      <c r="C12" s="73">
        <f>Historical_Prices!F19</f>
        <v>-3.8523281996335403E-2</v>
      </c>
      <c r="D12" s="73">
        <f>Historical_Prices!H19</f>
        <v>-2.1058447476151935E-2</v>
      </c>
      <c r="E12" s="73">
        <f>Historical_Prices!J19</f>
        <v>-3.8370764453177685E-2</v>
      </c>
      <c r="F12" s="73">
        <f>Historical_Prices!L19</f>
        <v>-7.75895108331522E-2</v>
      </c>
      <c r="H12" s="86" t="s">
        <v>2</v>
      </c>
      <c r="I12" s="87">
        <f>CORREL(D11:D62,C11:C62)</f>
        <v>0.37299094323160187</v>
      </c>
      <c r="J12" s="80">
        <v>1</v>
      </c>
      <c r="K12" s="88"/>
      <c r="L12" s="103"/>
      <c r="M12" s="90"/>
    </row>
    <row r="13" spans="1:17" ht="15.75" thickBot="1" x14ac:dyDescent="0.3">
      <c r="A13" s="72">
        <v>39073</v>
      </c>
      <c r="B13" s="73">
        <f>Historical_Prices!D20</f>
        <v>-6.2520356981334055E-2</v>
      </c>
      <c r="C13" s="73">
        <f>Historical_Prices!F20</f>
        <v>0.10051495802430345</v>
      </c>
      <c r="D13" s="73">
        <f>Historical_Prices!H20</f>
        <v>2.790213200404695E-2</v>
      </c>
      <c r="E13" s="73">
        <f>Historical_Prices!J20</f>
        <v>-3.0843566452240522E-2</v>
      </c>
      <c r="F13" s="73">
        <f>Historical_Prices!L20</f>
        <v>-5.2264339661592829E-2</v>
      </c>
      <c r="H13" s="86" t="s">
        <v>48</v>
      </c>
      <c r="I13" s="91">
        <f>CORREL(E11:E62, C11:C62)</f>
        <v>7.1505921857660373E-2</v>
      </c>
      <c r="J13" s="92">
        <f>CORREL(D11:D62, E11:E62)</f>
        <v>4.5287060892693978E-2</v>
      </c>
      <c r="K13" s="80">
        <v>1</v>
      </c>
      <c r="L13" s="88"/>
      <c r="M13" s="90"/>
    </row>
    <row r="14" spans="1:17" ht="15.75" thickBot="1" x14ac:dyDescent="0.3">
      <c r="A14" s="72">
        <v>39080</v>
      </c>
      <c r="B14" s="73">
        <f>Historical_Prices!D21</f>
        <v>-8.1579986992422873E-2</v>
      </c>
      <c r="C14" s="73">
        <f>Historical_Prices!F21</f>
        <v>5.4496047675646848E-3</v>
      </c>
      <c r="D14" s="73">
        <f>Historical_Prices!H21</f>
        <v>4.138627554717178E-2</v>
      </c>
      <c r="E14" s="73">
        <f>Historical_Prices!J21</f>
        <v>5.6791444641100738E-3</v>
      </c>
      <c r="F14" s="73">
        <f>Historical_Prices!L21</f>
        <v>3.5783932854754986E-2</v>
      </c>
      <c r="H14" s="86" t="s">
        <v>4</v>
      </c>
      <c r="I14" s="91">
        <f>CORREL(C11:C62, B11:B62)</f>
        <v>7.6756875117501788E-2</v>
      </c>
      <c r="J14" s="103">
        <f>CORREL(D11:D62, B11:B62)</f>
        <v>0.19217382019359197</v>
      </c>
      <c r="K14" s="92">
        <f>CORREL(E11:E62, B11:B62)</f>
        <v>0.16577338726761875</v>
      </c>
      <c r="L14" s="80">
        <v>1</v>
      </c>
      <c r="M14" s="95"/>
    </row>
    <row r="15" spans="1:17" ht="15.75" thickBot="1" x14ac:dyDescent="0.3">
      <c r="A15" s="72">
        <v>39087</v>
      </c>
      <c r="B15" s="73">
        <f>Historical_Prices!D22</f>
        <v>-0.10536051565782628</v>
      </c>
      <c r="C15" s="73">
        <f>Historical_Prices!F22</f>
        <v>0</v>
      </c>
      <c r="D15" s="73">
        <f>Historical_Prices!H22</f>
        <v>-3.4044213353754293E-2</v>
      </c>
      <c r="E15" s="73">
        <f>Historical_Prices!J22</f>
        <v>1.4988570999430725E-2</v>
      </c>
      <c r="F15" s="73">
        <f>Historical_Prices!L22</f>
        <v>5.0067575456613278E-2</v>
      </c>
      <c r="H15" s="104" t="s">
        <v>49</v>
      </c>
      <c r="I15" s="105">
        <f>CORREL(C11:C62, F11:F62)</f>
        <v>8.7233360117936434E-2</v>
      </c>
      <c r="J15" s="106">
        <f>CORREL(D11:D62, F11:F62)</f>
        <v>0.10692552568316277</v>
      </c>
      <c r="K15" s="107">
        <f>CORREL(E10:E1153, F10:F1153)</f>
        <v>0.70848139654486575</v>
      </c>
      <c r="L15" s="108">
        <f>CORREL(B11:B62, F11:F62)</f>
        <v>-8.5862168834542452E-2</v>
      </c>
      <c r="M15" s="80">
        <v>1</v>
      </c>
    </row>
    <row r="16" spans="1:17" ht="13.5" thickBot="1" x14ac:dyDescent="0.25">
      <c r="A16" s="72">
        <v>39094</v>
      </c>
      <c r="B16" s="73">
        <f>Historical_Prices!D23</f>
        <v>5.5401803756153509E-3</v>
      </c>
      <c r="C16" s="73">
        <f>Historical_Prices!F23</f>
        <v>2.7137058715961042E-3</v>
      </c>
      <c r="D16" s="73">
        <f>Historical_Prices!H23</f>
        <v>-1.3712261863981895E-2</v>
      </c>
      <c r="E16" s="73">
        <f>Historical_Prices!J23</f>
        <v>2.1615005695836659E-2</v>
      </c>
      <c r="F16" s="73">
        <f>Historical_Prices!L23</f>
        <v>5.5186415567290731E-2</v>
      </c>
    </row>
    <row r="17" spans="1:15" ht="15.75" thickBot="1" x14ac:dyDescent="0.3">
      <c r="A17" s="72">
        <v>39101</v>
      </c>
      <c r="B17" s="73">
        <f>Historical_Prices!D24</f>
        <v>4.8527040894660381E-2</v>
      </c>
      <c r="C17" s="73">
        <f>Historical_Prices!F24</f>
        <v>3.7238345140118791E-2</v>
      </c>
      <c r="D17" s="73">
        <f>Historical_Prices!H24</f>
        <v>0</v>
      </c>
      <c r="E17" s="73">
        <f>Historical_Prices!J24</f>
        <v>2.382670594316558E-2</v>
      </c>
      <c r="F17" s="73">
        <f>Historical_Prices!L24</f>
        <v>-1.0214987156313622E-2</v>
      </c>
      <c r="H17" s="69" t="s">
        <v>52</v>
      </c>
      <c r="I17" s="70"/>
      <c r="J17" s="70"/>
      <c r="K17" s="70"/>
      <c r="L17" s="70"/>
      <c r="M17" s="71"/>
    </row>
    <row r="18" spans="1:15" ht="15.75" thickBot="1" x14ac:dyDescent="0.3">
      <c r="A18" s="72">
        <v>39108</v>
      </c>
      <c r="B18" s="73">
        <f>Historical_Prices!D25</f>
        <v>4.6280752564006392E-2</v>
      </c>
      <c r="C18" s="73">
        <f>Historical_Prices!F25</f>
        <v>4.3429557927335889E-2</v>
      </c>
      <c r="D18" s="73">
        <f>Historical_Prices!H25</f>
        <v>0</v>
      </c>
      <c r="E18" s="73">
        <f>Historical_Prices!J25</f>
        <v>3.7921301125281574E-2</v>
      </c>
      <c r="F18" s="73">
        <f>Historical_Prices!L25</f>
        <v>1.3278363092051885E-2</v>
      </c>
      <c r="H18" s="69"/>
      <c r="I18" s="76" t="s">
        <v>1</v>
      </c>
      <c r="J18" s="76" t="s">
        <v>2</v>
      </c>
      <c r="K18" s="76" t="s">
        <v>48</v>
      </c>
      <c r="L18" s="76" t="s">
        <v>4</v>
      </c>
      <c r="M18" s="77" t="s">
        <v>49</v>
      </c>
      <c r="O18" s="80" t="s">
        <v>50</v>
      </c>
    </row>
    <row r="19" spans="1:15" ht="15.75" thickBot="1" x14ac:dyDescent="0.3">
      <c r="A19" s="72">
        <v>39115</v>
      </c>
      <c r="B19" s="73">
        <f>Historical_Prices!D115</f>
        <v>5.9701669865037544E-3</v>
      </c>
      <c r="C19" s="73">
        <f>Historical_Prices!F115</f>
        <v>-5.4658412537863965E-2</v>
      </c>
      <c r="D19" s="73">
        <f>Historical_Prices!H115</f>
        <v>-1.6814011041454583E-2</v>
      </c>
      <c r="E19" s="73">
        <f>Historical_Prices!J115</f>
        <v>-6.8170300082505048E-2</v>
      </c>
      <c r="F19" s="73">
        <f>Historical_Prices!L115</f>
        <v>-0.11337134529975745</v>
      </c>
      <c r="H19" s="79" t="s">
        <v>1</v>
      </c>
      <c r="I19" s="80">
        <v>1</v>
      </c>
      <c r="J19" s="109"/>
      <c r="K19" s="83"/>
      <c r="L19" s="83"/>
      <c r="M19" s="84"/>
      <c r="O19" s="85">
        <f>(I20+I21+I22+I23+J21+J22+J23+K22+K23+L23)/10</f>
        <v>0.45396872967934554</v>
      </c>
    </row>
    <row r="20" spans="1:15" ht="15.75" thickBot="1" x14ac:dyDescent="0.3">
      <c r="A20" s="72">
        <v>39122</v>
      </c>
      <c r="B20" s="73">
        <f>Historical_Prices!D27</f>
        <v>4.3172171865208574E-2</v>
      </c>
      <c r="C20" s="73">
        <f>Historical_Prices!F27</f>
        <v>1.5000281259492598E-2</v>
      </c>
      <c r="D20" s="73">
        <f>Historical_Prices!H27</f>
        <v>1.906578270581669E-3</v>
      </c>
      <c r="E20" s="73">
        <f>Historical_Prices!J27</f>
        <v>1.5729301908543908E-2</v>
      </c>
      <c r="F20" s="73">
        <f>Historical_Prices!L27</f>
        <v>6.322846464375872E-3</v>
      </c>
      <c r="H20" s="86" t="s">
        <v>2</v>
      </c>
      <c r="I20" s="110">
        <f>CORREL(D63:D114,C63:C114)</f>
        <v>0.59290085228994338</v>
      </c>
      <c r="J20" s="80">
        <v>1</v>
      </c>
      <c r="K20" s="88"/>
      <c r="L20" s="89"/>
      <c r="M20" s="90"/>
    </row>
    <row r="21" spans="1:15" ht="15.75" thickBot="1" x14ac:dyDescent="0.3">
      <c r="A21" s="72">
        <v>39129</v>
      </c>
      <c r="B21" s="73">
        <f>Historical_Prices!D28</f>
        <v>2.7779564107075671E-2</v>
      </c>
      <c r="C21" s="73">
        <f>Historical_Prices!F28</f>
        <v>-8.0042707673536495E-2</v>
      </c>
      <c r="D21" s="73">
        <f>Historical_Prices!H28</f>
        <v>-5.7306747089849834E-3</v>
      </c>
      <c r="E21" s="73">
        <f>Historical_Prices!J28</f>
        <v>4.7904283226327393E-3</v>
      </c>
      <c r="F21" s="73">
        <f>Historical_Prices!L28</f>
        <v>-2.0743101818646498E-2</v>
      </c>
      <c r="H21" s="86" t="s">
        <v>48</v>
      </c>
      <c r="I21" s="91">
        <f>CORREL(E63:E114, C63:C114)</f>
        <v>0.35724663023880915</v>
      </c>
      <c r="J21" s="92">
        <f>CORREL(D63:D114, E63:E114)</f>
        <v>0.29008302938939629</v>
      </c>
      <c r="K21" s="80">
        <v>1</v>
      </c>
      <c r="L21" s="88"/>
      <c r="M21" s="90"/>
    </row>
    <row r="22" spans="1:15" ht="15.75" thickBot="1" x14ac:dyDescent="0.3">
      <c r="A22" s="72">
        <v>39136</v>
      </c>
      <c r="B22" s="73">
        <f>Historical_Prices!D29</f>
        <v>2.7028672387919419E-2</v>
      </c>
      <c r="C22" s="73">
        <f>Historical_Prices!F29</f>
        <v>-5.3908486348764233E-3</v>
      </c>
      <c r="D22" s="73">
        <f>Historical_Prices!H29</f>
        <v>-1.0785928910151331E-2</v>
      </c>
      <c r="E22" s="73">
        <f>Historical_Prices!J29</f>
        <v>1.1483000854997278E-2</v>
      </c>
      <c r="F22" s="73">
        <f>Historical_Prices!L29</f>
        <v>-6.8259650703998706E-3</v>
      </c>
      <c r="H22" s="86" t="s">
        <v>4</v>
      </c>
      <c r="I22" s="91">
        <f>CORREL(C63:C114, B63:B114)</f>
        <v>0.23407324322702919</v>
      </c>
      <c r="J22" s="94">
        <f>CORREL(D63:D114, B63:B114)</f>
        <v>0.63277135238695015</v>
      </c>
      <c r="K22" s="92">
        <f>CORREL(E63:E114, B63:B114)</f>
        <v>0.42967153421961168</v>
      </c>
      <c r="L22" s="80">
        <v>1</v>
      </c>
      <c r="M22" s="95"/>
    </row>
    <row r="23" spans="1:15" ht="15.75" thickBot="1" x14ac:dyDescent="0.3">
      <c r="A23" s="72">
        <v>39143</v>
      </c>
      <c r="B23" s="73">
        <f>Historical_Prices!D30</f>
        <v>-1.3423020332140548E-2</v>
      </c>
      <c r="C23" s="73">
        <f>Historical_Prices!F30</f>
        <v>-2.4625047305389294E-2</v>
      </c>
      <c r="D23" s="73">
        <f>Historical_Prices!H30</f>
        <v>-2.2719347745483984E-2</v>
      </c>
      <c r="E23" s="73">
        <f>Historical_Prices!J30</f>
        <v>3.7098535609815679E-2</v>
      </c>
      <c r="F23" s="73">
        <f>Historical_Prices!L30</f>
        <v>7.2467022152071028E-2</v>
      </c>
      <c r="H23" s="104" t="s">
        <v>49</v>
      </c>
      <c r="I23" s="105">
        <f>CORREL(C63:C114, F63:F114)</f>
        <v>0.47272906673956827</v>
      </c>
      <c r="J23" s="106">
        <f>CORREL(D63:D114, F63:F114)</f>
        <v>0.3858265146269112</v>
      </c>
      <c r="K23" s="107">
        <f>CORREL(E63:E114, F63:F114)</f>
        <v>0.67313024409729416</v>
      </c>
      <c r="L23" s="108">
        <f>CORREL(B63:B114, F63:F114)</f>
        <v>0.4712548295779424</v>
      </c>
      <c r="M23" s="80">
        <v>1</v>
      </c>
    </row>
    <row r="24" spans="1:15" ht="13.5" thickBot="1" x14ac:dyDescent="0.25">
      <c r="A24" s="72">
        <v>39150</v>
      </c>
      <c r="B24" s="73">
        <f>Historical_Prices!D31</f>
        <v>-2.2780028331819999E-2</v>
      </c>
      <c r="C24" s="73">
        <f>Historical_Prices!F31</f>
        <v>-9.2820207567508958E-2</v>
      </c>
      <c r="D24" s="73">
        <f>Historical_Prices!H31</f>
        <v>-6.7183325641448063E-2</v>
      </c>
      <c r="E24" s="73">
        <f>Historical_Prices!J31</f>
        <v>4.0882690705518372E-2</v>
      </c>
      <c r="F24" s="73">
        <f>Historical_Prices!L31</f>
        <v>4.1317739387055172E-2</v>
      </c>
    </row>
    <row r="25" spans="1:15" ht="15.75" thickBot="1" x14ac:dyDescent="0.3">
      <c r="A25" s="72">
        <v>39157</v>
      </c>
      <c r="B25" s="73">
        <f>Historical_Prices!D32</f>
        <v>-1.8605187831034469E-2</v>
      </c>
      <c r="C25" s="73">
        <f>Historical_Prices!F32</f>
        <v>9.0772181511166797E-3</v>
      </c>
      <c r="D25" s="73">
        <f>Historical_Prices!H32</f>
        <v>-3.9322413239814058E-2</v>
      </c>
      <c r="E25" s="73">
        <f>Historical_Prices!J32</f>
        <v>2.7300546084842985E-2</v>
      </c>
      <c r="F25" s="73">
        <f>Historical_Prices!L32</f>
        <v>-2.2048663359911069E-2</v>
      </c>
      <c r="H25" s="69" t="s">
        <v>53</v>
      </c>
      <c r="I25" s="70"/>
      <c r="J25" s="70"/>
      <c r="K25" s="70"/>
      <c r="L25" s="70"/>
      <c r="M25" s="71"/>
    </row>
    <row r="26" spans="1:15" ht="15.75" thickBot="1" x14ac:dyDescent="0.3">
      <c r="A26" s="72">
        <v>39164</v>
      </c>
      <c r="B26" s="73">
        <f>Historical_Prices!D33</f>
        <v>1.3986241974740091E-2</v>
      </c>
      <c r="C26" s="73">
        <f>Historical_Prices!F33</f>
        <v>8.9955629085780031E-3</v>
      </c>
      <c r="D26" s="73">
        <f>Historical_Prices!H33</f>
        <v>-1.7337620325677264E-2</v>
      </c>
      <c r="E26" s="73">
        <f>Historical_Prices!J33</f>
        <v>-3.9055615062275153E-3</v>
      </c>
      <c r="F26" s="73">
        <f>Historical_Prices!L33</f>
        <v>-9.332382994379872E-3</v>
      </c>
      <c r="H26" s="69"/>
      <c r="I26" s="76" t="s">
        <v>1</v>
      </c>
      <c r="J26" s="76" t="s">
        <v>2</v>
      </c>
      <c r="K26" s="76" t="s">
        <v>48</v>
      </c>
      <c r="L26" s="76" t="s">
        <v>4</v>
      </c>
      <c r="M26" s="77" t="s">
        <v>49</v>
      </c>
      <c r="O26" s="80" t="s">
        <v>50</v>
      </c>
    </row>
    <row r="27" spans="1:15" ht="15.75" thickBot="1" x14ac:dyDescent="0.3">
      <c r="A27" s="72">
        <v>39171</v>
      </c>
      <c r="B27" s="73">
        <f>Historical_Prices!D167</f>
        <v>5.1679701584425976E-3</v>
      </c>
      <c r="C27" s="73">
        <f>Historical_Prices!F167</f>
        <v>5.5248759319698072E-3</v>
      </c>
      <c r="D27" s="73">
        <f>Historical_Prices!H167</f>
        <v>1.5037877364540502E-2</v>
      </c>
      <c r="E27" s="73">
        <f>Historical_Prices!J167</f>
        <v>-1.6117002743010256E-2</v>
      </c>
      <c r="F27" s="73">
        <f>Historical_Prices!L167</f>
        <v>-1.1485168983242299E-2</v>
      </c>
      <c r="H27" s="79" t="s">
        <v>1</v>
      </c>
      <c r="I27" s="80">
        <v>1</v>
      </c>
      <c r="J27" s="109"/>
      <c r="K27" s="82"/>
      <c r="L27" s="82"/>
      <c r="M27" s="84"/>
      <c r="O27" s="85">
        <f>(I28+I29+I30+I31+J29+J30+J31+K31+K30+L31)/10</f>
        <v>0.40562611865603476</v>
      </c>
    </row>
    <row r="28" spans="1:15" ht="15.75" thickBot="1" x14ac:dyDescent="0.3">
      <c r="A28" s="72">
        <v>39178</v>
      </c>
      <c r="B28" s="73">
        <f>Historical_Prices!D35</f>
        <v>-2.309571479464928E-2</v>
      </c>
      <c r="C28" s="73">
        <f>Historical_Prices!F35</f>
        <v>2.9413885206293407E-2</v>
      </c>
      <c r="D28" s="73">
        <f>Historical_Prices!H35</f>
        <v>-1.4462580053272365E-2</v>
      </c>
      <c r="E28" s="73">
        <f>Historical_Prices!J35</f>
        <v>2.7010419882762364E-2</v>
      </c>
      <c r="F28" s="73">
        <f>Historical_Prices!L35</f>
        <v>9.5839321219281844E-3</v>
      </c>
      <c r="H28" s="86" t="s">
        <v>2</v>
      </c>
      <c r="I28" s="110">
        <f>CORREL(D115:D166,C115:C166)</f>
        <v>0.51781148521987519</v>
      </c>
      <c r="J28" s="80">
        <v>1</v>
      </c>
      <c r="K28" s="88"/>
      <c r="L28" s="89"/>
      <c r="M28" s="90"/>
    </row>
    <row r="29" spans="1:15" ht="15.75" thickBot="1" x14ac:dyDescent="0.3">
      <c r="A29" s="72">
        <v>39185</v>
      </c>
      <c r="B29" s="73">
        <f>Historical_Prices!D36</f>
        <v>1.3921338518608014E-2</v>
      </c>
      <c r="C29" s="73">
        <f>Historical_Prices!F36</f>
        <v>-2.0498521548341045E-2</v>
      </c>
      <c r="D29" s="73">
        <f>Historical_Prices!H36</f>
        <v>-2.2814677766171399E-2</v>
      </c>
      <c r="E29" s="73">
        <f>Historical_Prices!J36</f>
        <v>2.207304242632898E-2</v>
      </c>
      <c r="F29" s="73">
        <f>Historical_Prices!L36</f>
        <v>-2.885958222807794E-2</v>
      </c>
      <c r="H29" s="86" t="s">
        <v>48</v>
      </c>
      <c r="I29" s="91">
        <f>CORREL(E115:E166, C115:C166)</f>
        <v>0.37652290585148956</v>
      </c>
      <c r="J29" s="92">
        <f>CORREL(D115:D166, E115:E166)</f>
        <v>0.42427717104596563</v>
      </c>
      <c r="K29" s="80">
        <v>1</v>
      </c>
      <c r="L29" s="88"/>
      <c r="M29" s="90"/>
    </row>
    <row r="30" spans="1:15" ht="15.75" thickBot="1" x14ac:dyDescent="0.3">
      <c r="A30" s="72">
        <v>39192</v>
      </c>
      <c r="B30" s="73">
        <f>Historical_Prices!D37</f>
        <v>1.3730192811902037E-2</v>
      </c>
      <c r="C30" s="73">
        <f>Historical_Prices!F37</f>
        <v>8.8365818004981639E-3</v>
      </c>
      <c r="D30" s="73">
        <f>Historical_Prices!H37</f>
        <v>-1.4528100562909744E-2</v>
      </c>
      <c r="E30" s="73">
        <f>Historical_Prices!J37</f>
        <v>4.5230639469777789E-2</v>
      </c>
      <c r="F30" s="73">
        <f>Historical_Prices!L37</f>
        <v>3.7689293904830355E-2</v>
      </c>
      <c r="H30" s="86" t="s">
        <v>4</v>
      </c>
      <c r="I30" s="91">
        <f>CORREL(C115:C166, B115:B166)</f>
        <v>9.1273529698784162E-2</v>
      </c>
      <c r="J30" s="94">
        <f>CORREL(D115:D166, B115:B166)</f>
        <v>0.56514911180995364</v>
      </c>
      <c r="K30" s="92">
        <f>CORREL(E115:E166, B115:B166)</f>
        <v>0.39633535924791974</v>
      </c>
      <c r="L30" s="80">
        <v>1</v>
      </c>
      <c r="M30" s="95"/>
    </row>
    <row r="31" spans="1:15" ht="15.75" thickBot="1" x14ac:dyDescent="0.3">
      <c r="A31" s="72">
        <v>39199</v>
      </c>
      <c r="B31" s="73">
        <f>Historical_Prices!D38</f>
        <v>-1.3730192811902131E-2</v>
      </c>
      <c r="C31" s="73">
        <f>Historical_Prices!F38</f>
        <v>1.7442302663342388E-2</v>
      </c>
      <c r="D31" s="73">
        <f>Historical_Prices!H38</f>
        <v>-2.2195732391784323E-2</v>
      </c>
      <c r="E31" s="73">
        <f>Historical_Prices!J38</f>
        <v>-4.9953272778787321E-3</v>
      </c>
      <c r="F31" s="73">
        <f>Historical_Prices!L38</f>
        <v>4.5712983094834042E-2</v>
      </c>
      <c r="H31" s="104" t="s">
        <v>49</v>
      </c>
      <c r="I31" s="105">
        <f>CORREL(C115:C166, F115:F166)</f>
        <v>0.39656390344217241</v>
      </c>
      <c r="J31" s="106">
        <f>CORREL(D115:D166, F115:F166)</f>
        <v>0.31330135077298232</v>
      </c>
      <c r="K31" s="107">
        <f>CORREL(E115:E166, F115:F166)</f>
        <v>0.70061993925824328</v>
      </c>
      <c r="L31" s="108">
        <f>CORREL(B115:B166, F115:F166)</f>
        <v>0.27440643021296229</v>
      </c>
      <c r="M31" s="80">
        <v>1</v>
      </c>
    </row>
    <row r="32" spans="1:15" ht="13.5" thickBot="1" x14ac:dyDescent="0.25">
      <c r="A32" s="72">
        <v>39206</v>
      </c>
      <c r="B32" s="73">
        <f>Historical_Prices!D39</f>
        <v>-4.6189458562944166E-3</v>
      </c>
      <c r="C32" s="73">
        <f>Historical_Prices!F39</f>
        <v>2.2793009528556566E-2</v>
      </c>
      <c r="D32" s="73">
        <f>Historical_Prices!H39</f>
        <v>7.4534506545809722E-3</v>
      </c>
      <c r="E32" s="73">
        <f>Historical_Prices!J39</f>
        <v>-1.9915309700941318E-2</v>
      </c>
      <c r="F32" s="73">
        <f>Historical_Prices!L39</f>
        <v>-1.6133246656715103E-2</v>
      </c>
    </row>
    <row r="33" spans="1:19" ht="15.75" thickBot="1" x14ac:dyDescent="0.3">
      <c r="A33" s="72">
        <v>39213</v>
      </c>
      <c r="B33" s="73">
        <f>Historical_Prices!D40</f>
        <v>4.6189458562944583E-3</v>
      </c>
      <c r="C33" s="73">
        <f>Historical_Prices!F40</f>
        <v>3.0515543925950628E-2</v>
      </c>
      <c r="D33" s="73">
        <f>Historical_Prices!H40</f>
        <v>-4.8171543673365888E-2</v>
      </c>
      <c r="E33" s="73">
        <f>Historical_Prices!J40</f>
        <v>-2.9814262710426327E-2</v>
      </c>
      <c r="F33" s="73">
        <f>Historical_Prices!L40</f>
        <v>3.1698374987191198E-2</v>
      </c>
      <c r="H33" s="69" t="s">
        <v>54</v>
      </c>
      <c r="I33" s="70"/>
      <c r="J33" s="70"/>
      <c r="K33" s="70"/>
      <c r="L33" s="70"/>
      <c r="M33" s="71"/>
    </row>
    <row r="34" spans="1:19" ht="15.75" thickBot="1" x14ac:dyDescent="0.3">
      <c r="A34" s="72">
        <v>39220</v>
      </c>
      <c r="B34" s="73">
        <f>Historical_Prices!D41</f>
        <v>-3.2789822822990838E-2</v>
      </c>
      <c r="C34" s="73">
        <f>Historical_Prices!F41</f>
        <v>4.2787275205208766E-2</v>
      </c>
      <c r="D34" s="73">
        <f>Historical_Prices!H41</f>
        <v>-9.3946411214656245E-3</v>
      </c>
      <c r="E34" s="73">
        <f>Historical_Prices!J41</f>
        <v>-2.1949667380166925E-2</v>
      </c>
      <c r="F34" s="73">
        <f>Historical_Prices!L41</f>
        <v>-1.0192169766227574E-2</v>
      </c>
      <c r="H34" s="69"/>
      <c r="I34" s="76" t="s">
        <v>1</v>
      </c>
      <c r="J34" s="76" t="s">
        <v>2</v>
      </c>
      <c r="K34" s="76" t="s">
        <v>48</v>
      </c>
      <c r="L34" s="76" t="s">
        <v>4</v>
      </c>
      <c r="M34" s="77" t="s">
        <v>49</v>
      </c>
      <c r="O34" s="80" t="s">
        <v>50</v>
      </c>
    </row>
    <row r="35" spans="1:19" ht="15.75" thickBot="1" x14ac:dyDescent="0.3">
      <c r="A35" s="72">
        <v>39227</v>
      </c>
      <c r="B35" s="73">
        <f>Historical_Prices!D42</f>
        <v>-2.8987536873252298E-2</v>
      </c>
      <c r="C35" s="73">
        <f>Historical_Prices!F42</f>
        <v>-5.2493558861436782E-3</v>
      </c>
      <c r="D35" s="73">
        <f>Historical_Prices!H42</f>
        <v>2.2298045957373388E-2</v>
      </c>
      <c r="E35" s="73">
        <f>Historical_Prices!J42</f>
        <v>-7.7637520771610628E-3</v>
      </c>
      <c r="F35" s="73">
        <f>Historical_Prices!L42</f>
        <v>3.4694512743984746E-2</v>
      </c>
      <c r="H35" s="79" t="s">
        <v>1</v>
      </c>
      <c r="I35" s="80">
        <v>1</v>
      </c>
      <c r="J35" s="109"/>
      <c r="K35" s="83"/>
      <c r="L35" s="83"/>
      <c r="M35" s="84"/>
      <c r="O35" s="85">
        <f>(I36+I37+I38+I39+J37+J38+J39+K38+K39+L39)/10</f>
        <v>0.57277511418929961</v>
      </c>
    </row>
    <row r="36" spans="1:19" ht="15.75" thickBot="1" x14ac:dyDescent="0.3">
      <c r="A36" s="72">
        <v>39234</v>
      </c>
      <c r="B36" s="73">
        <f>Historical_Prices!D43</f>
        <v>-4.9140148024291522E-3</v>
      </c>
      <c r="C36" s="73">
        <f>Historical_Prices!F43</f>
        <v>-0.13805287734336849</v>
      </c>
      <c r="D36" s="73">
        <f>Historical_Prices!H43</f>
        <v>-9.2736367853292149E-3</v>
      </c>
      <c r="E36" s="73">
        <f>Historical_Prices!J43</f>
        <v>-6.118305965488474E-3</v>
      </c>
      <c r="F36" s="73">
        <f>Historical_Prices!L43</f>
        <v>-2.7439041605965067E-3</v>
      </c>
      <c r="H36" s="86" t="s">
        <v>2</v>
      </c>
      <c r="I36" s="110">
        <f>CORREL(D171:D210,C171:C210)</f>
        <v>0.94153999730491222</v>
      </c>
      <c r="J36" s="80">
        <v>1</v>
      </c>
      <c r="K36" s="111"/>
      <c r="L36" s="89"/>
      <c r="M36" s="90"/>
    </row>
    <row r="37" spans="1:19" ht="15.75" thickBot="1" x14ac:dyDescent="0.3">
      <c r="A37" s="72">
        <v>39241</v>
      </c>
      <c r="B37" s="73">
        <f>Historical_Prices!D44</f>
        <v>-9.9010709827115698E-3</v>
      </c>
      <c r="C37" s="73">
        <f>Historical_Prices!F44</f>
        <v>-8.1806598769651406E-2</v>
      </c>
      <c r="D37" s="73">
        <f>Historical_Prices!H44</f>
        <v>-3.006585645699274E-3</v>
      </c>
      <c r="E37" s="73">
        <f>Historical_Prices!J44</f>
        <v>1.2872806485156745E-2</v>
      </c>
      <c r="F37" s="73">
        <f>Historical_Prices!L44</f>
        <v>3.2144551873011976E-2</v>
      </c>
      <c r="H37" s="86" t="s">
        <v>48</v>
      </c>
      <c r="I37" s="91">
        <f>CORREL(E171:E210, C171:C210)</f>
        <v>0.59251160746591236</v>
      </c>
      <c r="J37" s="92">
        <f>CORREL(D171:D210, E171:E210)</f>
        <v>0.58061222858758565</v>
      </c>
      <c r="K37" s="80">
        <v>1</v>
      </c>
      <c r="L37" s="88"/>
      <c r="M37" s="90"/>
    </row>
    <row r="38" spans="1:19" ht="15.75" thickBot="1" x14ac:dyDescent="0.3">
      <c r="A38" s="72">
        <v>39248</v>
      </c>
      <c r="B38" s="73">
        <f>Historical_Prices!D45</f>
        <v>-1.5037877364540446E-2</v>
      </c>
      <c r="C38" s="73">
        <f>Historical_Prices!F45</f>
        <v>2.5891413932741709E-2</v>
      </c>
      <c r="D38" s="73">
        <f>Historical_Prices!H45</f>
        <v>-1.633031161023725E-2</v>
      </c>
      <c r="E38" s="73">
        <f>Historical_Prices!J45</f>
        <v>2.4930657992499453E-2</v>
      </c>
      <c r="F38" s="73">
        <f>Historical_Prices!L45</f>
        <v>4.3107628804033758E-2</v>
      </c>
      <c r="H38" s="86" t="s">
        <v>4</v>
      </c>
      <c r="I38" s="91">
        <f>CORREL(C171:C210, B171:B210)</f>
        <v>0.84290688722136253</v>
      </c>
      <c r="J38" s="94">
        <f>CORREL(D171:D210, B171:B210)</f>
        <v>0.87787170003935389</v>
      </c>
      <c r="K38" s="92">
        <f>CORREL(E171:E210, B171:B210)</f>
        <v>0.27967638593943689</v>
      </c>
      <c r="L38" s="80">
        <v>1</v>
      </c>
      <c r="M38" s="95"/>
    </row>
    <row r="39" spans="1:19" ht="15.75" thickBot="1" x14ac:dyDescent="0.3">
      <c r="A39" s="72">
        <v>39255</v>
      </c>
      <c r="B39" s="73">
        <f>Historical_Prices!D46</f>
        <v>-2.0408871631207123E-2</v>
      </c>
      <c r="C39" s="73">
        <f>Historical_Prices!F46</f>
        <v>-3.2470385030784157E-2</v>
      </c>
      <c r="D39" s="73">
        <f>Historical_Prices!H46</f>
        <v>-8.4791181030613935E-3</v>
      </c>
      <c r="E39" s="73">
        <f>Historical_Prices!J46</f>
        <v>-3.6100176721284405E-2</v>
      </c>
      <c r="F39" s="73">
        <f>Historical_Prices!L46</f>
        <v>1.5175224473652521E-2</v>
      </c>
      <c r="H39" s="104" t="s">
        <v>49</v>
      </c>
      <c r="I39" s="105">
        <f>CORREL(C171:C210, F171:F210)</f>
        <v>0.36623616128748576</v>
      </c>
      <c r="J39" s="106">
        <f>CORREL(D171:D210, F171:F210)</f>
        <v>0.33277742247133829</v>
      </c>
      <c r="K39" s="107">
        <f>CORREL(E171:E210, F171:F210)</f>
        <v>0.86487228329603361</v>
      </c>
      <c r="L39" s="108">
        <f>CORREL(B171:B210, F171:F210)</f>
        <v>4.8746468279574767E-2</v>
      </c>
      <c r="M39" s="80">
        <v>1</v>
      </c>
      <c r="O39" t="s">
        <v>55</v>
      </c>
    </row>
    <row r="40" spans="1:19" x14ac:dyDescent="0.2">
      <c r="A40" s="72">
        <v>39262</v>
      </c>
      <c r="B40" s="73">
        <f>Historical_Prices!D47</f>
        <v>1.0256500167189061E-2</v>
      </c>
      <c r="C40" s="73">
        <f>Historical_Prices!F47</f>
        <v>-5.7740994689516566E-2</v>
      </c>
      <c r="D40" s="73">
        <f>Historical_Prices!H47</f>
        <v>-2.2605914198339731E-2</v>
      </c>
      <c r="E40" s="73">
        <f>Historical_Prices!J47</f>
        <v>-3.0761022235914325E-2</v>
      </c>
      <c r="F40" s="73">
        <f>Historical_Prices!L47</f>
        <v>-4.8927196227294967E-3</v>
      </c>
    </row>
    <row r="41" spans="1:19" ht="15" x14ac:dyDescent="0.25">
      <c r="A41" s="72">
        <v>39269</v>
      </c>
      <c r="B41" s="73">
        <f>Historical_Prices!D48</f>
        <v>5.0890695074712281E-3</v>
      </c>
      <c r="C41" s="73">
        <f>Historical_Prices!F48</f>
        <v>3.7740327982847113E-2</v>
      </c>
      <c r="D41" s="73">
        <f>Historical_Prices!H48</f>
        <v>-1.0893247264549934E-3</v>
      </c>
      <c r="E41" s="73">
        <f>Historical_Prices!J48</f>
        <v>-1.1650617219975363E-2</v>
      </c>
      <c r="F41" s="73">
        <f>Historical_Prices!L48</f>
        <v>1.1564043879315681E-2</v>
      </c>
      <c r="H41" s="112" t="s">
        <v>56</v>
      </c>
      <c r="I41" s="113"/>
      <c r="J41" s="113"/>
      <c r="K41" s="113"/>
      <c r="L41" s="113"/>
      <c r="M41" s="113"/>
      <c r="N41" s="113"/>
      <c r="O41" s="113"/>
      <c r="P41" s="113"/>
      <c r="Q41" s="113"/>
      <c r="R41" s="113"/>
      <c r="S41" s="113"/>
    </row>
    <row r="42" spans="1:19" x14ac:dyDescent="0.2">
      <c r="A42" s="72">
        <v>39276</v>
      </c>
      <c r="B42" s="73">
        <f>Historical_Prices!D49</f>
        <v>-2.0513539833103018E-2</v>
      </c>
      <c r="C42" s="73">
        <f>Historical_Prices!F49</f>
        <v>3.6367644170874791E-2</v>
      </c>
      <c r="D42" s="73">
        <f>Historical_Prices!H49</f>
        <v>-5.4644944720787375E-3</v>
      </c>
      <c r="E42" s="73">
        <f>Historical_Prices!J49</f>
        <v>-2.2989518224698718E-2</v>
      </c>
      <c r="F42" s="73">
        <f>Historical_Prices!L49</f>
        <v>-5.8471172656194247E-2</v>
      </c>
    </row>
    <row r="43" spans="1:19" x14ac:dyDescent="0.2">
      <c r="A43" s="72">
        <v>39283</v>
      </c>
      <c r="B43" s="73">
        <f>Historical_Prices!D50</f>
        <v>-4.2334363826560653E-2</v>
      </c>
      <c r="C43" s="73">
        <f>Historical_Prices!F50</f>
        <v>-1.6366977464205359E-2</v>
      </c>
      <c r="D43" s="73">
        <f>Historical_Prices!H50</f>
        <v>6.5538191985336581E-3</v>
      </c>
      <c r="E43" s="73">
        <f>Historical_Prices!J50</f>
        <v>1.1201562472656601E-2</v>
      </c>
      <c r="F43" s="73">
        <f>Historical_Prices!L50</f>
        <v>-2.6791303241575092E-2</v>
      </c>
    </row>
    <row r="44" spans="1:19" x14ac:dyDescent="0.2">
      <c r="A44" s="72">
        <v>39290</v>
      </c>
      <c r="B44" s="73">
        <f>Historical_Prices!D51</f>
        <v>-1.6349138001529526E-2</v>
      </c>
      <c r="C44" s="73">
        <f>Historical_Prices!F51</f>
        <v>3.5660180398884328E-2</v>
      </c>
      <c r="D44" s="73">
        <f>Historical_Prices!H51</f>
        <v>7.0518328572449973E-3</v>
      </c>
      <c r="E44" s="73">
        <f>Historical_Prices!J51</f>
        <v>-9.7491293923416354E-3</v>
      </c>
      <c r="F44" s="73">
        <f>Historical_Prices!L51</f>
        <v>-1.7193272519455915E-2</v>
      </c>
    </row>
    <row r="45" spans="1:19" x14ac:dyDescent="0.2">
      <c r="A45" s="72">
        <v>39297</v>
      </c>
      <c r="B45" s="73">
        <f>Historical_Prices!D52</f>
        <v>-2.7856954502966224E-2</v>
      </c>
      <c r="C45" s="73">
        <f>Historical_Prices!F52</f>
        <v>-2.580788395587259E-2</v>
      </c>
      <c r="D45" s="73">
        <f>Historical_Prices!H52</f>
        <v>2.0861949429139055E-2</v>
      </c>
      <c r="E45" s="73">
        <f>Historical_Prices!J52</f>
        <v>2.2247060325076357E-2</v>
      </c>
      <c r="F45" s="73">
        <f>Historical_Prices!L52</f>
        <v>1.990493431964608E-2</v>
      </c>
    </row>
    <row r="46" spans="1:19" x14ac:dyDescent="0.2">
      <c r="A46" s="72">
        <v>39304</v>
      </c>
      <c r="B46" s="73">
        <f>Historical_Prices!D53</f>
        <v>-5.8155920157074069E-2</v>
      </c>
      <c r="C46" s="73">
        <f>Historical_Prices!F53</f>
        <v>0</v>
      </c>
      <c r="D46" s="73">
        <f>Historical_Prices!H53</f>
        <v>2.8597231567860603E-2</v>
      </c>
      <c r="E46" s="73">
        <f>Historical_Prices!J53</f>
        <v>7.7766386966260995E-3</v>
      </c>
      <c r="F46" s="73">
        <f>Historical_Prices!L53</f>
        <v>3.6340778844069999E-2</v>
      </c>
    </row>
    <row r="47" spans="1:19" x14ac:dyDescent="0.2">
      <c r="A47" s="72">
        <v>39311</v>
      </c>
      <c r="B47" s="73">
        <f>Historical_Prices!D54</f>
        <v>-4.2819997182928067E-2</v>
      </c>
      <c r="C47" s="73">
        <f>Historical_Prices!F54</f>
        <v>1.2987195526811112E-2</v>
      </c>
      <c r="D47" s="73">
        <f>Historical_Prices!H54</f>
        <v>1.592357826585197E-2</v>
      </c>
      <c r="E47" s="73">
        <f>Historical_Prices!J54</f>
        <v>-1.704586727298861E-2</v>
      </c>
      <c r="F47" s="73">
        <f>Historical_Prices!L54</f>
        <v>1.8826452429300589E-2</v>
      </c>
    </row>
    <row r="48" spans="1:19" x14ac:dyDescent="0.2">
      <c r="A48" s="72">
        <v>39318</v>
      </c>
      <c r="B48" s="73">
        <f>Historical_Prices!D55</f>
        <v>-3.8221212820197741E-2</v>
      </c>
      <c r="C48" s="73">
        <f>Historical_Prices!F55</f>
        <v>1.600034134644112E-2</v>
      </c>
      <c r="D48" s="73">
        <f>Historical_Prices!H55</f>
        <v>1.7566323717899283E-2</v>
      </c>
      <c r="E48" s="73">
        <f>Historical_Prices!J55</f>
        <v>8.5592533956699111E-3</v>
      </c>
      <c r="F48" s="73">
        <f>Historical_Prices!L55</f>
        <v>3.3322416659328592E-2</v>
      </c>
    </row>
    <row r="49" spans="1:6" x14ac:dyDescent="0.2">
      <c r="A49" s="72">
        <v>39325</v>
      </c>
      <c r="B49" s="73">
        <f>Historical_Prices!D56</f>
        <v>-1.3072081567352775E-2</v>
      </c>
      <c r="C49" s="73">
        <f>Historical_Prices!F56</f>
        <v>5.2562330090855508E-2</v>
      </c>
      <c r="D49" s="73">
        <f>Historical_Prices!H56</f>
        <v>2.3599915340873506E-2</v>
      </c>
      <c r="E49" s="73">
        <f>Historical_Prices!J56</f>
        <v>-1.1428695823622744E-2</v>
      </c>
      <c r="F49" s="73">
        <f>Historical_Prices!L56</f>
        <v>1.2045040232601298E-2</v>
      </c>
    </row>
    <row r="50" spans="1:6" x14ac:dyDescent="0.2">
      <c r="A50" s="72">
        <v>39332</v>
      </c>
      <c r="B50" s="73">
        <f>Historical_Prices!D57</f>
        <v>-6.6006840313520242E-3</v>
      </c>
      <c r="C50" s="73">
        <f>Historical_Prices!F57</f>
        <v>-6.2131781107006158E-2</v>
      </c>
      <c r="D50" s="73">
        <f>Historical_Prices!H57</f>
        <v>4.2802539234760316E-2</v>
      </c>
      <c r="E50" s="73">
        <f>Historical_Prices!J57</f>
        <v>-8.2958095241557513E-3</v>
      </c>
      <c r="F50" s="73">
        <f>Historical_Prices!L57</f>
        <v>2.0387366898483089E-3</v>
      </c>
    </row>
    <row r="51" spans="1:6" x14ac:dyDescent="0.2">
      <c r="A51" s="72">
        <v>39339</v>
      </c>
      <c r="B51" s="73">
        <f>Historical_Prices!D58</f>
        <v>-1.3333530869465144E-2</v>
      </c>
      <c r="C51" s="73">
        <f>Historical_Prices!F58</f>
        <v>-3.5892923060606728E-2</v>
      </c>
      <c r="D51" s="73">
        <f>Historical_Prices!H58</f>
        <v>2.0733292789132853E-2</v>
      </c>
      <c r="E51" s="73">
        <f>Historical_Prices!J58</f>
        <v>-5.4476256022380669E-3</v>
      </c>
      <c r="F51" s="73">
        <f>Historical_Prices!L58</f>
        <v>-3.5364563516679381E-3</v>
      </c>
    </row>
    <row r="52" spans="1:6" x14ac:dyDescent="0.2">
      <c r="A52" s="72">
        <v>39346</v>
      </c>
      <c r="B52" s="73">
        <f>Historical_Prices!D59</f>
        <v>6.6889881507967101E-3</v>
      </c>
      <c r="C52" s="73">
        <f>Historical_Prices!F59</f>
        <v>7.0542058473780839E-2</v>
      </c>
      <c r="D52" s="73">
        <f>Historical_Prices!H59</f>
        <v>5.4139218102446172E-2</v>
      </c>
      <c r="E52" s="73">
        <f>Historical_Prices!J59</f>
        <v>2.1614674334489836E-2</v>
      </c>
      <c r="F52" s="73">
        <f>Historical_Prices!L59</f>
        <v>5.8867751320778268E-2</v>
      </c>
    </row>
    <row r="53" spans="1:6" x14ac:dyDescent="0.2">
      <c r="A53" s="72">
        <v>39353</v>
      </c>
      <c r="B53" s="73">
        <f>Historical_Prices!D60</f>
        <v>3.278982282299097E-2</v>
      </c>
      <c r="C53" s="73">
        <f>Historical_Prices!F60</f>
        <v>2.1440331237869408E-2</v>
      </c>
      <c r="D53" s="73">
        <f>Historical_Prices!H60</f>
        <v>3.605904981570264E-2</v>
      </c>
      <c r="E53" s="73">
        <f>Historical_Prices!J60</f>
        <v>1.8711931659905607E-2</v>
      </c>
      <c r="F53" s="73">
        <f>Historical_Prices!L60</f>
        <v>2.0724154074338294E-2</v>
      </c>
    </row>
    <row r="54" spans="1:6" x14ac:dyDescent="0.2">
      <c r="A54" s="72">
        <v>39360</v>
      </c>
      <c r="B54" s="73">
        <f>Historical_Prices!D61</f>
        <v>3.7979248065216471E-2</v>
      </c>
      <c r="C54" s="73">
        <f>Historical_Prices!F61</f>
        <v>3.5718082602079246E-2</v>
      </c>
      <c r="D54" s="73">
        <f>Historical_Prices!H61</f>
        <v>4.9583500188827838E-2</v>
      </c>
      <c r="E54" s="73">
        <f>Historical_Prices!J61</f>
        <v>5.0470990666217241E-2</v>
      </c>
      <c r="F54" s="73">
        <f>Historical_Prices!L61</f>
        <v>5.173990409269455E-2</v>
      </c>
    </row>
    <row r="55" spans="1:6" x14ac:dyDescent="0.2">
      <c r="A55" s="72">
        <v>39367</v>
      </c>
      <c r="B55" s="73">
        <f>Historical_Prices!D62</f>
        <v>3.6589447432291963E-2</v>
      </c>
      <c r="C55" s="73">
        <f>Historical_Prices!F62</f>
        <v>4.0119993789425358E-2</v>
      </c>
      <c r="D55" s="73">
        <f>Historical_Prices!H62</f>
        <v>4.3830944450597896E-2</v>
      </c>
      <c r="E55" s="73">
        <f>Historical_Prices!J62</f>
        <v>3.078173611191979E-2</v>
      </c>
      <c r="F55" s="73">
        <f>Historical_Prices!L62</f>
        <v>3.7408360140842659E-2</v>
      </c>
    </row>
    <row r="56" spans="1:6" x14ac:dyDescent="0.2">
      <c r="A56" s="72">
        <v>39374</v>
      </c>
      <c r="B56" s="73">
        <f>Historical_Prices!D63</f>
        <v>2.9500664396698056E-2</v>
      </c>
      <c r="C56" s="73">
        <f>Historical_Prices!F63</f>
        <v>2.8050509276084604E-3</v>
      </c>
      <c r="D56" s="73">
        <f>Historical_Prices!H63</f>
        <v>2.3256862164267183E-2</v>
      </c>
      <c r="E56" s="73">
        <f>Historical_Prices!J63</f>
        <v>-7.769543778407096E-3</v>
      </c>
      <c r="F56" s="73">
        <f>Historical_Prices!L63</f>
        <v>-1.9409058345760767E-2</v>
      </c>
    </row>
    <row r="57" spans="1:6" x14ac:dyDescent="0.2">
      <c r="A57" s="72">
        <v>39381</v>
      </c>
      <c r="B57" s="73">
        <f>Historical_Prices!D64</f>
        <v>3.4289073478632165E-2</v>
      </c>
      <c r="C57" s="73">
        <f>Historical_Prices!F64</f>
        <v>1.390843004613215E-2</v>
      </c>
      <c r="D57" s="73">
        <f>Historical_Prices!H64</f>
        <v>2.6707276041654331E-2</v>
      </c>
      <c r="E57" s="73">
        <f>Historical_Prices!J64</f>
        <v>-1.6262810544790309E-3</v>
      </c>
      <c r="F57" s="73">
        <f>Historical_Prices!L64</f>
        <v>3.1422245551046335E-2</v>
      </c>
    </row>
    <row r="58" spans="1:6" x14ac:dyDescent="0.2">
      <c r="A58" s="72">
        <v>39388</v>
      </c>
      <c r="B58" s="73">
        <f>Historical_Prices!D65</f>
        <v>2.770260254933575E-2</v>
      </c>
      <c r="C58" s="73">
        <f>Historical_Prices!F65</f>
        <v>2.1858793812499017E-2</v>
      </c>
      <c r="D58" s="73">
        <f>Historical_Prices!H65</f>
        <v>2.5238881254154E-3</v>
      </c>
      <c r="E58" s="73">
        <f>Historical_Prices!J65</f>
        <v>-1.4096283240325521E-2</v>
      </c>
      <c r="F58" s="73">
        <f>Historical_Prices!L65</f>
        <v>-8.1073809762904625E-3</v>
      </c>
    </row>
    <row r="59" spans="1:6" x14ac:dyDescent="0.2">
      <c r="A59" s="72">
        <v>39395</v>
      </c>
      <c r="B59" s="73">
        <f>Historical_Prices!D66</f>
        <v>2.1622464013165709E-2</v>
      </c>
      <c r="C59" s="73">
        <f>Historical_Prices!F66</f>
        <v>2.4033199444156193E-2</v>
      </c>
      <c r="D59" s="73">
        <f>Historical_Prices!H66</f>
        <v>1.5365676625359811E-2</v>
      </c>
      <c r="E59" s="73">
        <f>Historical_Prices!J66</f>
        <v>-2.4057291174760149E-2</v>
      </c>
      <c r="F59" s="73">
        <f>Historical_Prices!L66</f>
        <v>-6.23243572247816E-2</v>
      </c>
    </row>
    <row r="60" spans="1:6" x14ac:dyDescent="0.2">
      <c r="A60" s="72">
        <v>39402</v>
      </c>
      <c r="B60" s="73">
        <f>Historical_Prices!D67</f>
        <v>0</v>
      </c>
      <c r="C60" s="73">
        <f>Historical_Prices!F67</f>
        <v>5.1425211807437185E-2</v>
      </c>
      <c r="D60" s="73">
        <f>Historical_Prices!H67</f>
        <v>2.5902743259269882E-2</v>
      </c>
      <c r="E60" s="73">
        <f>Historical_Prices!J67</f>
        <v>1.689474975266979E-3</v>
      </c>
      <c r="F60" s="73">
        <f>Historical_Prices!L67</f>
        <v>5.9614508324194833E-3</v>
      </c>
    </row>
    <row r="61" spans="1:6" x14ac:dyDescent="0.2">
      <c r="A61" s="72">
        <v>39409</v>
      </c>
      <c r="B61" s="73">
        <f>Historical_Prices!D68</f>
        <v>5.2095111883401872E-2</v>
      </c>
      <c r="C61" s="73">
        <f>Historical_Prices!F68</f>
        <v>2.7195742808489867E-2</v>
      </c>
      <c r="D61" s="73">
        <f>Historical_Prices!H68</f>
        <v>4.062847199501151E-2</v>
      </c>
      <c r="E61" s="73">
        <f>Historical_Prices!J68</f>
        <v>-6.4352465942713339E-3</v>
      </c>
      <c r="F61" s="73">
        <f>Historical_Prices!L68</f>
        <v>1.1697450231262061E-2</v>
      </c>
    </row>
    <row r="62" spans="1:6" x14ac:dyDescent="0.2">
      <c r="A62" s="72">
        <v>39416</v>
      </c>
      <c r="B62" s="73">
        <f>Historical_Prices!D69</f>
        <v>6.3903801979480257E-2</v>
      </c>
      <c r="C62" s="73">
        <f>Historical_Prices!F69</f>
        <v>3.3576295533604521E-2</v>
      </c>
      <c r="D62" s="73">
        <f>Historical_Prices!H69</f>
        <v>4.6227398778375825E-2</v>
      </c>
      <c r="E62" s="73">
        <f>Historical_Prices!J69</f>
        <v>2.8472866323866659E-2</v>
      </c>
      <c r="F62" s="73">
        <f>Historical_Prices!L69</f>
        <v>2.4982060463269312E-2</v>
      </c>
    </row>
    <row r="63" spans="1:6" x14ac:dyDescent="0.2">
      <c r="A63" s="72">
        <v>39423</v>
      </c>
      <c r="B63" s="73">
        <f>Historical_Prices!D70</f>
        <v>2.3530497410194036E-2</v>
      </c>
      <c r="C63" s="73">
        <f>Historical_Prices!F70</f>
        <v>2.1004272770531997E-2</v>
      </c>
      <c r="D63" s="73">
        <f>Historical_Prices!H70</f>
        <v>3.7188715205714457E-2</v>
      </c>
      <c r="E63" s="73">
        <f>Historical_Prices!J70</f>
        <v>1.9621296587327312E-2</v>
      </c>
      <c r="F63" s="73">
        <f>Historical_Prices!L70</f>
        <v>3.323481870092318E-2</v>
      </c>
    </row>
    <row r="64" spans="1:6" x14ac:dyDescent="0.2">
      <c r="A64" s="72">
        <v>39430</v>
      </c>
      <c r="B64" s="73">
        <f>Historical_Prices!D71</f>
        <v>4.1008023727377253E-2</v>
      </c>
      <c r="C64" s="73">
        <f>Historical_Prices!F71</f>
        <v>2.5086834429734882E-2</v>
      </c>
      <c r="D64" s="73">
        <f>Historical_Prices!H71</f>
        <v>4.9368483600953715E-2</v>
      </c>
      <c r="E64" s="73">
        <f>Historical_Prices!J71</f>
        <v>-1.5337223467302199E-2</v>
      </c>
      <c r="F64" s="73">
        <f>Historical_Prices!L71</f>
        <v>1.3370234563171639E-2</v>
      </c>
    </row>
    <row r="65" spans="1:6" x14ac:dyDescent="0.2">
      <c r="A65" s="72">
        <v>39437</v>
      </c>
      <c r="B65" s="73">
        <f>Historical_Prices!D72</f>
        <v>-3.1748698314580416E-2</v>
      </c>
      <c r="C65" s="73">
        <f>Historical_Prices!F72</f>
        <v>5.6908132271879373E-2</v>
      </c>
      <c r="D65" s="73">
        <f>Historical_Prices!H72</f>
        <v>5.8674469805052559E-2</v>
      </c>
      <c r="E65" s="73">
        <f>Historical_Prices!J72</f>
        <v>-1.657862904741652E-2</v>
      </c>
      <c r="F65" s="73">
        <f>Historical_Prices!L72</f>
        <v>-4.8477712987386803E-2</v>
      </c>
    </row>
    <row r="66" spans="1:6" x14ac:dyDescent="0.2">
      <c r="A66" s="72">
        <v>39444</v>
      </c>
      <c r="B66" s="73">
        <f>Historical_Prices!D73</f>
        <v>0</v>
      </c>
      <c r="C66" s="73">
        <f>Historical_Prices!F73</f>
        <v>-3.2435275753153962E-2</v>
      </c>
      <c r="D66" s="73">
        <f>Historical_Prices!H73</f>
        <v>-2.3563113728140836E-2</v>
      </c>
      <c r="E66" s="73">
        <f>Historical_Prices!J73</f>
        <v>-1.2786176886025454E-2</v>
      </c>
      <c r="F66" s="73">
        <f>Historical_Prices!L73</f>
        <v>-3.2141797909911646E-2</v>
      </c>
    </row>
    <row r="67" spans="1:6" x14ac:dyDescent="0.2">
      <c r="A67" s="72">
        <v>39451</v>
      </c>
      <c r="B67" s="73">
        <f>Historical_Prices!D74</f>
        <v>0</v>
      </c>
      <c r="C67" s="73">
        <f>Historical_Prices!F74</f>
        <v>3.4560675065467429E-2</v>
      </c>
      <c r="D67" s="73">
        <f>Historical_Prices!H74</f>
        <v>-1.5548016388484789E-2</v>
      </c>
      <c r="E67" s="73">
        <f>Historical_Prices!J74</f>
        <v>4.3926409539548619E-3</v>
      </c>
      <c r="F67" s="73">
        <f>Historical_Prices!L74</f>
        <v>3.2141797909911569E-2</v>
      </c>
    </row>
    <row r="68" spans="1:6" x14ac:dyDescent="0.2">
      <c r="A68" s="72">
        <v>39458</v>
      </c>
      <c r="B68" s="73">
        <f>Historical_Prices!D75</f>
        <v>-1.8605187831034469E-2</v>
      </c>
      <c r="C68" s="73">
        <f>Historical_Prices!F75</f>
        <v>1.8928009885518859E-2</v>
      </c>
      <c r="D68" s="73">
        <f>Historical_Prices!H75</f>
        <v>-2.743854445502111E-2</v>
      </c>
      <c r="E68" s="73">
        <f>Historical_Prices!J75</f>
        <v>-6.4265399601827235E-3</v>
      </c>
      <c r="F68" s="73">
        <f>Historical_Prices!L75</f>
        <v>-2.5510074081159444E-2</v>
      </c>
    </row>
    <row r="69" spans="1:6" x14ac:dyDescent="0.2">
      <c r="A69" s="72">
        <v>39465</v>
      </c>
      <c r="B69" s="73">
        <f>Historical_Prices!D76</f>
        <v>-2.375408600810703E-2</v>
      </c>
      <c r="C69" s="73">
        <f>Historical_Prices!F76</f>
        <v>2.0811662038244493E-3</v>
      </c>
      <c r="D69" s="73">
        <f>Historical_Prices!H76</f>
        <v>-4.4917730294358943E-2</v>
      </c>
      <c r="E69" s="73">
        <f>Historical_Prices!J76</f>
        <v>2.9423720755903857E-2</v>
      </c>
      <c r="F69" s="73">
        <f>Historical_Prices!L76</f>
        <v>2.7148843030376003E-2</v>
      </c>
    </row>
    <row r="70" spans="1:6" x14ac:dyDescent="0.2">
      <c r="A70" s="72">
        <v>39472</v>
      </c>
      <c r="B70" s="73">
        <f>Historical_Prices!D77</f>
        <v>9.5694510161506725E-3</v>
      </c>
      <c r="C70" s="73">
        <f>Historical_Prices!F77</f>
        <v>3.4732806918891905E-2</v>
      </c>
      <c r="D70" s="73">
        <f>Historical_Prices!H77</f>
        <v>-3.5857309890852639E-2</v>
      </c>
      <c r="E70" s="73">
        <f>Historical_Prices!J77</f>
        <v>2.6017727727954874E-2</v>
      </c>
      <c r="F70" s="73">
        <f>Historical_Prices!L77</f>
        <v>4.6950544953413477E-2</v>
      </c>
    </row>
    <row r="71" spans="1:6" x14ac:dyDescent="0.2">
      <c r="A71" s="72">
        <v>39479</v>
      </c>
      <c r="B71" s="73">
        <f>Historical_Prices!D78</f>
        <v>4.6520015634892907E-2</v>
      </c>
      <c r="C71" s="73">
        <f>Historical_Prices!F78</f>
        <v>1.7910926566530243E-2</v>
      </c>
      <c r="D71" s="73">
        <f>Historical_Prices!H78</f>
        <v>8.8496152769826E-3</v>
      </c>
      <c r="E71" s="73">
        <f>Historical_Prices!J78</f>
        <v>7.0377769691245791E-3</v>
      </c>
      <c r="F71" s="73">
        <f>Historical_Prices!L78</f>
        <v>2.3491568272897719E-2</v>
      </c>
    </row>
    <row r="72" spans="1:6" x14ac:dyDescent="0.2">
      <c r="A72" s="72">
        <v>39486</v>
      </c>
      <c r="B72" s="73">
        <f>Historical_Prices!D79</f>
        <v>3.1322471129041067E-2</v>
      </c>
      <c r="C72" s="73">
        <f>Historical_Prices!F79</f>
        <v>4.2477428267116216E-2</v>
      </c>
      <c r="D72" s="73">
        <f>Historical_Prices!H79</f>
        <v>6.8987416911565217E-3</v>
      </c>
      <c r="E72" s="73">
        <f>Historical_Prices!J79</f>
        <v>1.9883880597139834E-2</v>
      </c>
      <c r="F72" s="73">
        <f>Historical_Prices!L79</f>
        <v>3.6496104573132772E-2</v>
      </c>
    </row>
    <row r="73" spans="1:6" x14ac:dyDescent="0.2">
      <c r="A73" s="72">
        <v>39493</v>
      </c>
      <c r="B73" s="73">
        <f>Historical_Prices!D80</f>
        <v>1.746769304039078E-2</v>
      </c>
      <c r="C73" s="73">
        <f>Historical_Prices!F80</f>
        <v>3.7735893836392666E-3</v>
      </c>
      <c r="D73" s="73">
        <f>Historical_Prices!H80</f>
        <v>6.2305497506361628E-3</v>
      </c>
      <c r="E73" s="73">
        <f>Historical_Prices!J80</f>
        <v>1.7655716488415584E-2</v>
      </c>
      <c r="F73" s="73">
        <f>Historical_Prices!L80</f>
        <v>4.7312707629622495E-2</v>
      </c>
    </row>
    <row r="74" spans="1:6" x14ac:dyDescent="0.2">
      <c r="A74" s="72">
        <v>39500</v>
      </c>
      <c r="B74" s="73">
        <f>Historical_Prices!D81</f>
        <v>1.7167803622365498E-2</v>
      </c>
      <c r="C74" s="73">
        <f>Historical_Prices!F81</f>
        <v>-5.4171851142199502E-2</v>
      </c>
      <c r="D74" s="73">
        <f>Historical_Prices!H81</f>
        <v>6.1919702479209804E-3</v>
      </c>
      <c r="E74" s="73">
        <f>Historical_Prices!J81</f>
        <v>-1.0183701649714509E-2</v>
      </c>
      <c r="F74" s="73">
        <f>Historical_Prices!L81</f>
        <v>-9.0257239241619441E-4</v>
      </c>
    </row>
    <row r="75" spans="1:6" x14ac:dyDescent="0.2">
      <c r="A75" s="72">
        <v>39507</v>
      </c>
      <c r="B75" s="73">
        <f>Historical_Prices!D82</f>
        <v>-8.5470605784584083E-3</v>
      </c>
      <c r="C75" s="73">
        <f>Historical_Prices!F82</f>
        <v>3.9682591756204488E-3</v>
      </c>
      <c r="D75" s="73">
        <f>Historical_Prices!H82</f>
        <v>-1.5444018513741361E-3</v>
      </c>
      <c r="E75" s="73">
        <f>Historical_Prices!J82</f>
        <v>1.0797575211042444E-2</v>
      </c>
      <c r="F75" s="73">
        <f>Historical_Prices!L82</f>
        <v>-3.076852332502486E-2</v>
      </c>
    </row>
    <row r="76" spans="1:6" x14ac:dyDescent="0.2">
      <c r="A76" s="72">
        <v>39514</v>
      </c>
      <c r="B76" s="73">
        <f>Historical_Prices!D83</f>
        <v>1.7021687569430743E-2</v>
      </c>
      <c r="C76" s="73">
        <f>Historical_Prices!F83</f>
        <v>8.3540012234170874E-2</v>
      </c>
      <c r="D76" s="73">
        <f>Historical_Prices!H83</f>
        <v>3.0143856375738239E-2</v>
      </c>
      <c r="E76" s="73">
        <f>Historical_Prices!J83</f>
        <v>1.2198992391019995E-2</v>
      </c>
      <c r="F76" s="73">
        <f>Historical_Prices!L83</f>
        <v>-1.134188319673118E-2</v>
      </c>
    </row>
    <row r="77" spans="1:6" x14ac:dyDescent="0.2">
      <c r="A77" s="72">
        <v>39521</v>
      </c>
      <c r="B77" s="73">
        <f>Historical_Prices!D84</f>
        <v>2.9108084158070549E-2</v>
      </c>
      <c r="C77" s="73">
        <f>Historical_Prices!F84</f>
        <v>2.1622464013165709E-2</v>
      </c>
      <c r="D77" s="73">
        <f>Historical_Prices!H84</f>
        <v>1.0146312051478154E-2</v>
      </c>
      <c r="E77" s="73">
        <f>Historical_Prices!J84</f>
        <v>1.5340953590530655E-2</v>
      </c>
      <c r="F77" s="73">
        <f>Historical_Prices!L84</f>
        <v>5.7542043328323036E-2</v>
      </c>
    </row>
    <row r="78" spans="1:6" x14ac:dyDescent="0.2">
      <c r="A78" s="72">
        <v>39528</v>
      </c>
      <c r="B78" s="73">
        <f>Historical_Prices!D85</f>
        <v>8.1633106391608354E-3</v>
      </c>
      <c r="C78" s="73">
        <f>Historical_Prices!F85</f>
        <v>1.780944370994692E-3</v>
      </c>
      <c r="D78" s="73">
        <f>Historical_Prices!H85</f>
        <v>4.7393453638963469E-3</v>
      </c>
      <c r="E78" s="73">
        <f>Historical_Prices!J85</f>
        <v>3.4329320865911374E-2</v>
      </c>
      <c r="F78" s="73">
        <f>Historical_Prices!L85</f>
        <v>3.923211247730158E-2</v>
      </c>
    </row>
    <row r="79" spans="1:6" x14ac:dyDescent="0.2">
      <c r="A79" s="72">
        <v>39535</v>
      </c>
      <c r="B79" s="73">
        <f>Historical_Prices!D86</f>
        <v>1.6129381929883717E-2</v>
      </c>
      <c r="C79" s="73">
        <f>Historical_Prices!F86</f>
        <v>-7.1428875123801137E-3</v>
      </c>
      <c r="D79" s="73">
        <f>Historical_Prices!H86</f>
        <v>1.6413029641330269E-2</v>
      </c>
      <c r="E79" s="73">
        <f>Historical_Prices!J86</f>
        <v>2.8154852738062223E-2</v>
      </c>
      <c r="F79" s="73">
        <f>Historical_Prices!L86</f>
        <v>3.7110355712466063E-2</v>
      </c>
    </row>
    <row r="80" spans="1:6" x14ac:dyDescent="0.2">
      <c r="A80" s="72">
        <v>39542</v>
      </c>
      <c r="B80" s="73">
        <f>Historical_Prices!D87</f>
        <v>3.9920212695374567E-3</v>
      </c>
      <c r="C80" s="73">
        <f>Historical_Prices!F87</f>
        <v>1.069528911674795E-2</v>
      </c>
      <c r="D80" s="73">
        <f>Historical_Prices!H87</f>
        <v>5.8122640404064882E-4</v>
      </c>
      <c r="E80" s="73">
        <f>Historical_Prices!J87</f>
        <v>1.4011491713627833E-3</v>
      </c>
      <c r="F80" s="73">
        <f>Historical_Prices!L87</f>
        <v>-2.4744548207472471E-3</v>
      </c>
    </row>
    <row r="81" spans="1:6" x14ac:dyDescent="0.2">
      <c r="A81" s="72">
        <v>39549</v>
      </c>
      <c r="B81" s="73">
        <f>Historical_Prices!D88</f>
        <v>-8.0000426670761519E-3</v>
      </c>
      <c r="C81" s="73">
        <f>Historical_Prices!F88</f>
        <v>1.0582109330537008E-2</v>
      </c>
      <c r="D81" s="73">
        <f>Historical_Prices!H88</f>
        <v>-5.812264040406975E-4</v>
      </c>
      <c r="E81" s="73">
        <f>Historical_Prices!J88</f>
        <v>3.3864213164736805E-2</v>
      </c>
      <c r="F81" s="73">
        <f>Historical_Prices!L88</f>
        <v>3.5869394589979467E-2</v>
      </c>
    </row>
    <row r="82" spans="1:6" x14ac:dyDescent="0.2">
      <c r="A82" s="72">
        <v>39556</v>
      </c>
      <c r="B82" s="73">
        <f>Historical_Prices!D89</f>
        <v>0</v>
      </c>
      <c r="C82" s="73">
        <f>Historical_Prices!F89</f>
        <v>-5.2770571008437812E-3</v>
      </c>
      <c r="D82" s="73">
        <f>Historical_Prices!H89</f>
        <v>9.835196433606138E-3</v>
      </c>
      <c r="E82" s="73">
        <f>Historical_Prices!J89</f>
        <v>1.8240849101790364E-2</v>
      </c>
      <c r="F82" s="73">
        <f>Historical_Prices!L89</f>
        <v>2.9311240040277207E-2</v>
      </c>
    </row>
    <row r="83" spans="1:6" x14ac:dyDescent="0.2">
      <c r="A83" s="72">
        <v>39563</v>
      </c>
      <c r="B83" s="73">
        <f>Historical_Prices!D90</f>
        <v>0</v>
      </c>
      <c r="C83" s="73">
        <f>Historical_Prices!F90</f>
        <v>-2.6811257450656815E-2</v>
      </c>
      <c r="D83" s="73">
        <f>Historical_Prices!H90</f>
        <v>6.8847087774972331E-3</v>
      </c>
      <c r="E83" s="73">
        <f>Historical_Prices!J90</f>
        <v>3.9353612349436795E-2</v>
      </c>
      <c r="F83" s="73">
        <f>Historical_Prices!L90</f>
        <v>3.2479174230615304E-2</v>
      </c>
    </row>
    <row r="84" spans="1:6" x14ac:dyDescent="0.2">
      <c r="A84" s="72">
        <v>39570</v>
      </c>
      <c r="B84" s="73">
        <f>Historical_Prices!D91</f>
        <v>-4.0241502997254907E-3</v>
      </c>
      <c r="C84" s="73">
        <f>Historical_Prices!F91</f>
        <v>-1.8132371241808313E-3</v>
      </c>
      <c r="D84" s="73">
        <f>Historical_Prices!H91</f>
        <v>-2.9775560248874442E-3</v>
      </c>
      <c r="E84" s="73">
        <f>Historical_Prices!J91</f>
        <v>4.8438590566448484E-3</v>
      </c>
      <c r="F84" s="73">
        <f>Historical_Prices!L91</f>
        <v>1.4540903922511655E-2</v>
      </c>
    </row>
    <row r="85" spans="1:6" x14ac:dyDescent="0.2">
      <c r="A85" s="72">
        <v>39577</v>
      </c>
      <c r="B85" s="73">
        <f>Historical_Prices!D92</f>
        <v>-2.0367302824433699E-2</v>
      </c>
      <c r="C85" s="73">
        <f>Historical_Prices!F92</f>
        <v>4.6107457355185094E-2</v>
      </c>
      <c r="D85" s="73">
        <f>Historical_Prices!H92</f>
        <v>-8.5234333104241018E-3</v>
      </c>
      <c r="E85" s="73">
        <f>Historical_Prices!J92</f>
        <v>1.1882329159871589E-2</v>
      </c>
      <c r="F85" s="73">
        <f>Historical_Prices!L92</f>
        <v>-3.420705584479488E-2</v>
      </c>
    </row>
    <row r="86" spans="1:6" x14ac:dyDescent="0.2">
      <c r="A86" s="72">
        <v>39584</v>
      </c>
      <c r="B86" s="73">
        <f>Historical_Prices!D93</f>
        <v>-2.922963831493848E-2</v>
      </c>
      <c r="C86" s="73">
        <f>Historical_Prices!F93</f>
        <v>9.7356296832022807E-2</v>
      </c>
      <c r="D86" s="73">
        <f>Historical_Prices!H93</f>
        <v>8.6717739210847395E-4</v>
      </c>
      <c r="E86" s="73">
        <f>Historical_Prices!J93</f>
        <v>7.0123002092157324E-3</v>
      </c>
      <c r="F86" s="73">
        <f>Historical_Prices!L93</f>
        <v>6.1393196148951792E-2</v>
      </c>
    </row>
    <row r="87" spans="1:6" x14ac:dyDescent="0.2">
      <c r="A87" s="72">
        <v>39591</v>
      </c>
      <c r="B87" s="73">
        <f>Historical_Prices!D94</f>
        <v>7.743174013281609E-2</v>
      </c>
      <c r="C87" s="73">
        <f>Historical_Prices!F94</f>
        <v>6.9831094503340047E-2</v>
      </c>
      <c r="D87" s="73">
        <f>Historical_Prices!H94</f>
        <v>8.2861392748595927E-2</v>
      </c>
      <c r="E87" s="73">
        <f>Historical_Prices!J94</f>
        <v>-1.2485954924657972E-3</v>
      </c>
      <c r="F87" s="73">
        <f>Historical_Prices!L94</f>
        <v>5.1749647752620488E-3</v>
      </c>
    </row>
    <row r="88" spans="1:6" x14ac:dyDescent="0.2">
      <c r="A88" s="72">
        <v>39598</v>
      </c>
      <c r="B88" s="73">
        <f>Historical_Prices!D95</f>
        <v>7.5507552508145295E-2</v>
      </c>
      <c r="C88" s="73">
        <f>Historical_Prices!F95</f>
        <v>-1.1799546931155055E-2</v>
      </c>
      <c r="D88" s="73">
        <f>Historical_Prices!H95</f>
        <v>2.365419089788981E-2</v>
      </c>
      <c r="E88" s="73">
        <f>Historical_Prices!J95</f>
        <v>6.2274457077754908E-3</v>
      </c>
      <c r="F88" s="73">
        <f>Historical_Prices!L95</f>
        <v>1.646030469610239E-2</v>
      </c>
    </row>
    <row r="89" spans="1:6" x14ac:dyDescent="0.2">
      <c r="A89" s="72">
        <v>39605</v>
      </c>
      <c r="B89" s="73">
        <f>Historical_Prices!D96</f>
        <v>1.8018505502678212E-2</v>
      </c>
      <c r="C89" s="73">
        <f>Historical_Prices!F96</f>
        <v>1.4727806710243386E-2</v>
      </c>
      <c r="D89" s="73">
        <f>Historical_Prices!H96</f>
        <v>1.9293202934678851E-2</v>
      </c>
      <c r="E89" s="73">
        <f>Historical_Prices!J96</f>
        <v>5.9420823512364345E-3</v>
      </c>
      <c r="F89" s="73">
        <f>Historical_Prices!L96</f>
        <v>4.2663759388687959E-2</v>
      </c>
    </row>
    <row r="90" spans="1:6" x14ac:dyDescent="0.2">
      <c r="A90" s="72">
        <v>39612</v>
      </c>
      <c r="B90" s="73">
        <f>Historical_Prices!D97</f>
        <v>0</v>
      </c>
      <c r="C90" s="73">
        <f>Historical_Prices!F97</f>
        <v>-5.2525200918460364E-2</v>
      </c>
      <c r="D90" s="73">
        <f>Historical_Prices!H97</f>
        <v>-7.6726719116601665E-3</v>
      </c>
      <c r="E90" s="73">
        <f>Historical_Prices!J97</f>
        <v>7.4028380925478731E-4</v>
      </c>
      <c r="F90" s="73">
        <f>Historical_Prices!L97</f>
        <v>-2.0980076630064144E-3</v>
      </c>
    </row>
    <row r="91" spans="1:6" x14ac:dyDescent="0.2">
      <c r="A91" s="72">
        <v>39619</v>
      </c>
      <c r="B91" s="73">
        <f>Historical_Prices!D98</f>
        <v>-4.0078223567410469E-2</v>
      </c>
      <c r="C91" s="73">
        <f>Historical_Prices!F98</f>
        <v>-8.5192049638740275E-2</v>
      </c>
      <c r="D91" s="73">
        <f>Historical_Prices!H98</f>
        <v>-2.3903450376588978E-2</v>
      </c>
      <c r="E91" s="73">
        <f>Historical_Prices!J98</f>
        <v>-1.2160467509485852E-2</v>
      </c>
      <c r="F91" s="73">
        <f>Historical_Prices!L98</f>
        <v>8.3657494173661161E-3</v>
      </c>
    </row>
    <row r="92" spans="1:6" x14ac:dyDescent="0.2">
      <c r="A92" s="72">
        <v>39626</v>
      </c>
      <c r="B92" s="73">
        <f>Historical_Prices!D99</f>
        <v>-5.7377112583302477E-2</v>
      </c>
      <c r="C92" s="73">
        <f>Historical_Prices!F99</f>
        <v>-0.12684240447372605</v>
      </c>
      <c r="D92" s="73">
        <f>Historical_Prices!H99</f>
        <v>-7.5626144970444106E-2</v>
      </c>
      <c r="E92" s="73">
        <f>Historical_Prices!J99</f>
        <v>-2.7593194740033921E-2</v>
      </c>
      <c r="F92" s="73">
        <f>Historical_Prices!L99</f>
        <v>-9.2272548750002042E-2</v>
      </c>
    </row>
    <row r="93" spans="1:6" x14ac:dyDescent="0.2">
      <c r="A93" s="72">
        <v>39633</v>
      </c>
      <c r="B93" s="73">
        <f>Historical_Prices!D100</f>
        <v>-5.6695343676545294E-2</v>
      </c>
      <c r="C93" s="73">
        <f>Historical_Prices!F100</f>
        <v>2.0735898479178342E-2</v>
      </c>
      <c r="D93" s="73">
        <f>Historical_Prices!H100</f>
        <v>-2.1789852932410168E-2</v>
      </c>
      <c r="E93" s="73">
        <f>Historical_Prices!J100</f>
        <v>-1.7607912189580847E-2</v>
      </c>
      <c r="F93" s="73">
        <f>Historical_Prices!L100</f>
        <v>-2.9301881174031177E-2</v>
      </c>
    </row>
    <row r="94" spans="1:6" x14ac:dyDescent="0.2">
      <c r="A94" s="72">
        <v>39640</v>
      </c>
      <c r="B94" s="73">
        <f>Historical_Prices!D101</f>
        <v>-2.1053409197832267E-2</v>
      </c>
      <c r="C94" s="73">
        <f>Historical_Prices!F101</f>
        <v>-0.10411750741822941</v>
      </c>
      <c r="D94" s="73">
        <f>Historical_Prices!H101</f>
        <v>-6.2492306883857991E-2</v>
      </c>
      <c r="E94" s="73">
        <f>Historical_Prices!J101</f>
        <v>-1.6860251867574678E-2</v>
      </c>
      <c r="F94" s="73">
        <f>Historical_Prices!L101</f>
        <v>-2.923462127854165E-2</v>
      </c>
    </row>
    <row r="95" spans="1:6" x14ac:dyDescent="0.2">
      <c r="A95" s="72">
        <v>39647</v>
      </c>
      <c r="B95" s="73">
        <f>Historical_Prices!D102</f>
        <v>-6.142281262640624E-2</v>
      </c>
      <c r="C95" s="73">
        <f>Historical_Prices!F102</f>
        <v>-1.2500162764231607E-2</v>
      </c>
      <c r="D95" s="73">
        <f>Historical_Prices!H102</f>
        <v>-6.7319304638132585E-2</v>
      </c>
      <c r="E95" s="73">
        <f>Historical_Prices!J102</f>
        <v>-1.5529093859965154E-2</v>
      </c>
      <c r="F95" s="73">
        <f>Historical_Prices!L102</f>
        <v>-6.7159724349650091E-2</v>
      </c>
    </row>
    <row r="96" spans="1:6" x14ac:dyDescent="0.2">
      <c r="A96" s="72">
        <v>39654</v>
      </c>
      <c r="B96" s="73">
        <f>Historical_Prices!D103</f>
        <v>-5.1055170800284065E-2</v>
      </c>
      <c r="C96" s="73">
        <f>Historical_Prices!F103</f>
        <v>8.8233550865025753E-2</v>
      </c>
      <c r="D96" s="73">
        <f>Historical_Prices!H103</f>
        <v>-3.6369687965761019E-3</v>
      </c>
      <c r="E96" s="73">
        <f>Historical_Prices!J103</f>
        <v>-1.2489980449893062E-2</v>
      </c>
      <c r="F96" s="73">
        <f>Historical_Prices!L103</f>
        <v>3.6992509438780492E-4</v>
      </c>
    </row>
    <row r="97" spans="1:6" x14ac:dyDescent="0.2">
      <c r="A97" s="72">
        <v>39661</v>
      </c>
      <c r="B97" s="73">
        <f>Historical_Prices!D104</f>
        <v>5.1055170800284169E-2</v>
      </c>
      <c r="C97" s="73">
        <f>Historical_Prices!F104</f>
        <v>3.0248052755497735E-2</v>
      </c>
      <c r="D97" s="73">
        <f>Historical_Prices!H104</f>
        <v>-1.6575505203980791E-3</v>
      </c>
      <c r="E97" s="73">
        <f>Historical_Prices!J104</f>
        <v>1.9107416759139807E-3</v>
      </c>
      <c r="F97" s="73">
        <f>Historical_Prices!L104</f>
        <v>1.7324783657305921E-2</v>
      </c>
    </row>
    <row r="98" spans="1:6" x14ac:dyDescent="0.2">
      <c r="A98" s="72">
        <v>39668</v>
      </c>
      <c r="B98" s="73">
        <f>Historical_Prices!D105</f>
        <v>1.3483350337287207E-2</v>
      </c>
      <c r="C98" s="73">
        <f>Historical_Prices!F105</f>
        <v>-3.216928293339167E-2</v>
      </c>
      <c r="D98" s="73">
        <f>Historical_Prices!H105</f>
        <v>-4.0697582883459468E-2</v>
      </c>
      <c r="E98" s="73">
        <f>Historical_Prices!J105</f>
        <v>-8.2147230843368831E-3</v>
      </c>
      <c r="F98" s="73">
        <f>Historical_Prices!L105</f>
        <v>-4.4410456130740884E-2</v>
      </c>
    </row>
    <row r="99" spans="1:6" x14ac:dyDescent="0.2">
      <c r="A99" s="72">
        <v>39675</v>
      </c>
      <c r="B99" s="73">
        <f>Historical_Prices!D106</f>
        <v>-3.1748698314580416E-2</v>
      </c>
      <c r="C99" s="73">
        <f>Historical_Prices!F106</f>
        <v>-4.3228734550820075E-2</v>
      </c>
      <c r="D99" s="73">
        <f>Historical_Prices!H106</f>
        <v>-2.9386033975189681E-2</v>
      </c>
      <c r="E99" s="73">
        <f>Historical_Prices!J106</f>
        <v>6.131984662030799E-2</v>
      </c>
      <c r="F99" s="73">
        <f>Historical_Prices!L106</f>
        <v>-8.7305065284807221E-2</v>
      </c>
    </row>
    <row r="100" spans="1:6" x14ac:dyDescent="0.2">
      <c r="A100" s="72">
        <v>39682</v>
      </c>
      <c r="B100" s="73">
        <f>Historical_Prices!D107</f>
        <v>-2.3311078868446997E-2</v>
      </c>
      <c r="C100" s="73">
        <f>Historical_Prices!F107</f>
        <v>2.3810648693718392E-2</v>
      </c>
      <c r="D100" s="73">
        <f>Historical_Prices!H107</f>
        <v>-1.6143848371356278E-2</v>
      </c>
      <c r="E100" s="73">
        <f>Historical_Prices!J107</f>
        <v>-3.5534729640062587E-2</v>
      </c>
      <c r="F100" s="73">
        <f>Historical_Prices!L107</f>
        <v>-8.3530363793579268E-2</v>
      </c>
    </row>
    <row r="101" spans="1:6" x14ac:dyDescent="0.2">
      <c r="A101" s="72">
        <v>39689</v>
      </c>
      <c r="B101" s="73">
        <f>Historical_Prices!D108</f>
        <v>-9.47874395454377E-3</v>
      </c>
      <c r="C101" s="73">
        <f>Historical_Prices!F108</f>
        <v>2.5170738346551574E-2</v>
      </c>
      <c r="D101" s="73">
        <f>Historical_Prices!H108</f>
        <v>2.1467729624106195E-2</v>
      </c>
      <c r="E101" s="73">
        <f>Historical_Prices!J108</f>
        <v>-2.3862303587385565E-2</v>
      </c>
      <c r="F101" s="73">
        <f>Historical_Prices!L108</f>
        <v>9.8348498689218231E-2</v>
      </c>
    </row>
    <row r="102" spans="1:6" x14ac:dyDescent="0.2">
      <c r="A102" s="72">
        <v>39696</v>
      </c>
      <c r="B102" s="73">
        <f>Historical_Prices!D109</f>
        <v>1.8868484304382736E-2</v>
      </c>
      <c r="C102" s="73">
        <f>Historical_Prices!F109</f>
        <v>-0.11325220639602564</v>
      </c>
      <c r="D102" s="73">
        <f>Historical_Prices!H109</f>
        <v>-8.8889474172460393E-3</v>
      </c>
      <c r="E102" s="73">
        <f>Historical_Prices!J109</f>
        <v>-4.4613935185224794E-2</v>
      </c>
      <c r="F102" s="73">
        <f>Historical_Prices!L109</f>
        <v>-6.5424170274045568E-2</v>
      </c>
    </row>
    <row r="103" spans="1:6" x14ac:dyDescent="0.2">
      <c r="A103" s="72">
        <v>39703</v>
      </c>
      <c r="B103" s="73">
        <f>Historical_Prices!D110</f>
        <v>-4.78560211776351E-2</v>
      </c>
      <c r="C103" s="73">
        <f>Historical_Prices!F110</f>
        <v>-0.12288166470786453</v>
      </c>
      <c r="D103" s="73">
        <f>Historical_Prices!H110</f>
        <v>-4.5670036833188321E-2</v>
      </c>
      <c r="E103" s="73">
        <f>Historical_Prices!J110</f>
        <v>-0.11416691313587046</v>
      </c>
      <c r="F103" s="73">
        <f>Historical_Prices!L110</f>
        <v>-0.12518495344267089</v>
      </c>
    </row>
    <row r="104" spans="1:6" x14ac:dyDescent="0.2">
      <c r="A104" s="72">
        <v>39710</v>
      </c>
      <c r="B104" s="73">
        <f>Historical_Prices!D111</f>
        <v>-0.10318423623523075</v>
      </c>
      <c r="C104" s="73">
        <f>Historical_Prices!F111</f>
        <v>-8.3276340240601363E-2</v>
      </c>
      <c r="D104" s="73">
        <f>Historical_Prices!H111</f>
        <v>-4.394212185649872E-2</v>
      </c>
      <c r="E104" s="73">
        <f>Historical_Prices!J111</f>
        <v>-8.5229287968643277E-2</v>
      </c>
      <c r="F104" s="73">
        <f>Historical_Prices!L111</f>
        <v>-0.15518116156556852</v>
      </c>
    </row>
    <row r="105" spans="1:6" x14ac:dyDescent="0.2">
      <c r="A105" s="72">
        <v>39717</v>
      </c>
      <c r="B105" s="73">
        <f>Historical_Prices!D112</f>
        <v>-9.0971778205726758E-2</v>
      </c>
      <c r="C105" s="73">
        <f>Historical_Prices!F112</f>
        <v>5.249355886143745E-3</v>
      </c>
      <c r="D105" s="73">
        <f>Historical_Prices!H112</f>
        <v>-9.4192219164916397E-3</v>
      </c>
      <c r="E105" s="73">
        <f>Historical_Prices!J112</f>
        <v>-9.7800142338572954E-2</v>
      </c>
      <c r="F105" s="73">
        <f>Historical_Prices!L112</f>
        <v>-9.8041967787890288E-2</v>
      </c>
    </row>
    <row r="106" spans="1:6" x14ac:dyDescent="0.2">
      <c r="A106" s="72">
        <v>39724</v>
      </c>
      <c r="B106" s="73">
        <f>Historical_Prices!D113</f>
        <v>-5.970166986503796E-3</v>
      </c>
      <c r="C106" s="73">
        <f>Historical_Prices!F113</f>
        <v>-1.8494582636164301E-2</v>
      </c>
      <c r="D106" s="73">
        <f>Historical_Prices!H113</f>
        <v>-2.1120530048949916E-2</v>
      </c>
      <c r="E106" s="73">
        <f>Historical_Prices!J113</f>
        <v>-0.10112077139979056</v>
      </c>
      <c r="F106" s="73">
        <f>Historical_Prices!L113</f>
        <v>-8.7807745591087311E-2</v>
      </c>
    </row>
    <row r="107" spans="1:6" x14ac:dyDescent="0.2">
      <c r="A107" s="72">
        <v>39731</v>
      </c>
      <c r="B107" s="73">
        <f>Historical_Prices!D114</f>
        <v>0</v>
      </c>
      <c r="C107" s="73">
        <f>Historical_Prices!F114</f>
        <v>2.6631174194836284E-3</v>
      </c>
      <c r="D107" s="73">
        <f>Historical_Prices!H114</f>
        <v>-9.712743291974071E-3</v>
      </c>
      <c r="E107" s="73">
        <f>Historical_Prices!J114</f>
        <v>-7.5423761817241836E-2</v>
      </c>
      <c r="F107" s="73">
        <f>Historical_Prices!L114</f>
        <v>-2.2322747813491375E-2</v>
      </c>
    </row>
    <row r="108" spans="1:6" x14ac:dyDescent="0.2">
      <c r="A108" s="72">
        <v>39738</v>
      </c>
      <c r="B108" s="73">
        <f>Historical_Prices!D115</f>
        <v>5.9701669865037544E-3</v>
      </c>
      <c r="C108" s="73">
        <f>Historical_Prices!F115</f>
        <v>-5.4658412537863965E-2</v>
      </c>
      <c r="D108" s="73">
        <f>Historical_Prices!H115</f>
        <v>-1.6814011041454583E-2</v>
      </c>
      <c r="E108" s="73">
        <f>Historical_Prices!J115</f>
        <v>-6.8170300082505048E-2</v>
      </c>
      <c r="F108" s="73">
        <f>Historical_Prices!L115</f>
        <v>-0.11337134529975745</v>
      </c>
    </row>
    <row r="109" spans="1:6" x14ac:dyDescent="0.2">
      <c r="A109" s="72">
        <v>39745</v>
      </c>
      <c r="B109" s="73">
        <f>Historical_Prices!D116</f>
        <v>-3.0213778596496595E-2</v>
      </c>
      <c r="C109" s="73">
        <f>Historical_Prices!F116</f>
        <v>5.6022555486697516E-3</v>
      </c>
      <c r="D109" s="73">
        <f>Historical_Prices!H116</f>
        <v>-1.1647386249181629E-2</v>
      </c>
      <c r="E109" s="73">
        <f>Historical_Prices!J116</f>
        <v>-8.7594585099294284E-2</v>
      </c>
      <c r="F109" s="73">
        <f>Historical_Prices!L116</f>
        <v>-0.11955147080348887</v>
      </c>
    </row>
    <row r="110" spans="1:6" x14ac:dyDescent="0.2">
      <c r="A110" s="72">
        <v>39752</v>
      </c>
      <c r="B110" s="73">
        <f>Historical_Prices!D117</f>
        <v>-6.1538655743781116E-3</v>
      </c>
      <c r="C110" s="73">
        <f>Historical_Prices!F117</f>
        <v>-7.8414611023637407E-2</v>
      </c>
      <c r="D110" s="73">
        <f>Historical_Prices!H117</f>
        <v>-1.9007964045176632E-2</v>
      </c>
      <c r="E110" s="73">
        <f>Historical_Prices!J117</f>
        <v>-3.6746662517905058E-2</v>
      </c>
      <c r="F110" s="73">
        <f>Historical_Prices!L117</f>
        <v>-2.1774505103789445E-2</v>
      </c>
    </row>
    <row r="111" spans="1:6" x14ac:dyDescent="0.2">
      <c r="A111" s="72">
        <v>39759</v>
      </c>
      <c r="B111" s="73">
        <f>Historical_Prices!D163</f>
        <v>6.3789737875330002E-2</v>
      </c>
      <c r="C111" s="73">
        <f>Historical_Prices!F163</f>
        <v>6.7631400888630275E-2</v>
      </c>
      <c r="D111" s="73">
        <f>Historical_Prices!H163</f>
        <v>7.3294693487032783E-2</v>
      </c>
      <c r="E111" s="73">
        <f>Historical_Prices!J163</f>
        <v>4.0295540178009237E-2</v>
      </c>
      <c r="F111" s="73">
        <f>Historical_Prices!L163</f>
        <v>4.8560371556253465E-2</v>
      </c>
    </row>
    <row r="112" spans="1:6" x14ac:dyDescent="0.2">
      <c r="A112" s="72">
        <v>39766</v>
      </c>
      <c r="B112" s="73">
        <f>Historical_Prices!D119</f>
        <v>-5.2299499402848906E-2</v>
      </c>
      <c r="C112" s="73">
        <f>Historical_Prices!F119</f>
        <v>-4.8318577270807801E-2</v>
      </c>
      <c r="D112" s="73">
        <f>Historical_Prices!H119</f>
        <v>-3.9565600206191251E-2</v>
      </c>
      <c r="E112" s="73">
        <f>Historical_Prices!J119</f>
        <v>-1.9826422939198632E-2</v>
      </c>
      <c r="F112" s="73">
        <f>Historical_Prices!L119</f>
        <v>-0.11577628500574766</v>
      </c>
    </row>
    <row r="113" spans="1:6" x14ac:dyDescent="0.2">
      <c r="A113" s="72">
        <v>39773</v>
      </c>
      <c r="B113" s="73">
        <f>Historical_Prices!D120</f>
        <v>-4.1101675685551918E-2</v>
      </c>
      <c r="C113" s="73">
        <f>Historical_Prices!F120</f>
        <v>0.15838498396604672</v>
      </c>
      <c r="D113" s="73">
        <f>Historical_Prices!H120</f>
        <v>2.1735164791519941E-2</v>
      </c>
      <c r="E113" s="73">
        <f>Historical_Prices!J120</f>
        <v>-7.9196271380632104E-3</v>
      </c>
      <c r="F113" s="73">
        <f>Historical_Prices!L120</f>
        <v>3.2807459662822371E-2</v>
      </c>
    </row>
    <row r="114" spans="1:6" x14ac:dyDescent="0.2">
      <c r="A114" s="72">
        <v>39780</v>
      </c>
      <c r="B114" s="73">
        <f>Historical_Prices!D121</f>
        <v>3.4367643504207818E-2</v>
      </c>
      <c r="C114" s="73">
        <f>Historical_Prices!F121</f>
        <v>8.4151969252844981E-3</v>
      </c>
      <c r="D114" s="73">
        <f>Historical_Prices!H121</f>
        <v>5.0314316002731875E-2</v>
      </c>
      <c r="E114" s="73">
        <f>Historical_Prices!J121</f>
        <v>-2.7908788117076502E-2</v>
      </c>
      <c r="F114" s="73">
        <f>Historical_Prices!L121</f>
        <v>-0.17158574164935969</v>
      </c>
    </row>
    <row r="115" spans="1:6" x14ac:dyDescent="0.2">
      <c r="A115" s="72">
        <v>39787</v>
      </c>
      <c r="B115" s="73">
        <f>Historical_Prices!D122</f>
        <v>6.7340321813441194E-3</v>
      </c>
      <c r="C115" s="73">
        <f>Historical_Prices!F122</f>
        <v>4.1045433243115166E-2</v>
      </c>
      <c r="D115" s="73">
        <f>Historical_Prices!H122</f>
        <v>5.0207835257052684E-2</v>
      </c>
      <c r="E115" s="73">
        <f>Historical_Prices!J122</f>
        <v>5.0286498430369711E-2</v>
      </c>
      <c r="F115" s="73">
        <f>Historical_Prices!L122</f>
        <v>-2.5157245972472469E-3</v>
      </c>
    </row>
    <row r="116" spans="1:6" x14ac:dyDescent="0.2">
      <c r="A116" s="72">
        <v>39794</v>
      </c>
      <c r="B116" s="73">
        <f>Historical_Prices!D123</f>
        <v>2.6491615446976285E-2</v>
      </c>
      <c r="C116" s="73">
        <f>Historical_Prices!F123</f>
        <v>3.6846273385966292E-2</v>
      </c>
      <c r="D116" s="73">
        <f>Historical_Prices!H123</f>
        <v>-1.5885626851378416E-3</v>
      </c>
      <c r="E116" s="73">
        <f>Historical_Prices!J123</f>
        <v>5.8088337520379459E-2</v>
      </c>
      <c r="F116" s="73">
        <f>Historical_Prices!L123</f>
        <v>0.22666379633746248</v>
      </c>
    </row>
    <row r="117" spans="1:6" x14ac:dyDescent="0.2">
      <c r="A117" s="72">
        <v>39801</v>
      </c>
      <c r="B117" s="73">
        <f>Historical_Prices!D124</f>
        <v>1.2987195526811112E-2</v>
      </c>
      <c r="C117" s="73">
        <f>Historical_Prices!F124</f>
        <v>-0.10049153854632246</v>
      </c>
      <c r="D117" s="73">
        <f>Historical_Prices!H124</f>
        <v>-1.5622188330971591E-2</v>
      </c>
      <c r="E117" s="73">
        <f>Historical_Prices!J124</f>
        <v>3.3299414069049259E-2</v>
      </c>
      <c r="F117" s="73">
        <f>Historical_Prices!L124</f>
        <v>-4.0989344533197004E-2</v>
      </c>
    </row>
    <row r="118" spans="1:6" x14ac:dyDescent="0.2">
      <c r="A118" s="72">
        <v>39808</v>
      </c>
      <c r="B118" s="73">
        <f>Historical_Prices!D125</f>
        <v>-3.9478810973787463E-2</v>
      </c>
      <c r="C118" s="73">
        <f>Historical_Prices!F125</f>
        <v>4.4700178917906987E-2</v>
      </c>
      <c r="D118" s="73">
        <f>Historical_Prices!H125</f>
        <v>5.23455996939388E-3</v>
      </c>
      <c r="E118" s="73">
        <f>Historical_Prices!J125</f>
        <v>-1.0425334479224616E-2</v>
      </c>
      <c r="F118" s="73">
        <f>Historical_Prices!L125</f>
        <v>-7.8482672439194592E-4</v>
      </c>
    </row>
    <row r="119" spans="1:6" x14ac:dyDescent="0.2">
      <c r="A119" s="72">
        <v>39815</v>
      </c>
      <c r="B119" s="73">
        <f>Historical_Prices!D1127</f>
        <v>0</v>
      </c>
      <c r="C119" s="73">
        <f>Historical_Prices!F1127</f>
        <v>0</v>
      </c>
      <c r="D119" s="73">
        <f>Historical_Prices!H1127</f>
        <v>0</v>
      </c>
      <c r="E119" s="73">
        <f>Historical_Prices!J1127</f>
        <v>0</v>
      </c>
      <c r="F119" s="73">
        <f>Historical_Prices!L1127</f>
        <v>0</v>
      </c>
    </row>
    <row r="120" spans="1:6" x14ac:dyDescent="0.2">
      <c r="A120" s="72">
        <v>39822</v>
      </c>
      <c r="B120" s="73">
        <f>Historical_Prices!D127</f>
        <v>-6.688988150796652E-3</v>
      </c>
      <c r="C120" s="73">
        <f>Historical_Prices!F127</f>
        <v>-4.5205436768046801E-2</v>
      </c>
      <c r="D120" s="73">
        <f>Historical_Prices!H127</f>
        <v>3.9580447775777104E-4</v>
      </c>
      <c r="E120" s="73">
        <f>Historical_Prices!J127</f>
        <v>1.3800643660924643E-2</v>
      </c>
      <c r="F120" s="73">
        <f>Historical_Prices!L127</f>
        <v>-2.9494764883112857E-2</v>
      </c>
    </row>
    <row r="121" spans="1:6" x14ac:dyDescent="0.2">
      <c r="A121" s="72">
        <v>39829</v>
      </c>
      <c r="B121" s="73">
        <f>Historical_Prices!D128</f>
        <v>-6.7340321813440683E-3</v>
      </c>
      <c r="C121" s="73">
        <f>Historical_Prices!F128</f>
        <v>1.7192400540372771E-2</v>
      </c>
      <c r="D121" s="73">
        <f>Historical_Prices!H128</f>
        <v>-1.2744099202575142E-2</v>
      </c>
      <c r="E121" s="73">
        <f>Historical_Prices!J128</f>
        <v>1.7764312493500155E-2</v>
      </c>
      <c r="F121" s="73">
        <f>Historical_Prices!L128</f>
        <v>2.6534723254635906E-2</v>
      </c>
    </row>
    <row r="122" spans="1:6" x14ac:dyDescent="0.2">
      <c r="A122" s="72">
        <v>39836</v>
      </c>
      <c r="B122" s="73">
        <f>Historical_Prices!D129</f>
        <v>2.0067563050809388E-2</v>
      </c>
      <c r="C122" s="73">
        <f>Historical_Prices!F129</f>
        <v>-3.4685557987890102E-2</v>
      </c>
      <c r="D122" s="73">
        <f>Historical_Prices!H129</f>
        <v>-2.4077058180270606E-3</v>
      </c>
      <c r="E122" s="73">
        <f>Historical_Prices!J129</f>
        <v>-3.3169663639726517E-2</v>
      </c>
      <c r="F122" s="73">
        <f>Historical_Prices!L129</f>
        <v>-8.4499263700109087E-2</v>
      </c>
    </row>
    <row r="123" spans="1:6" x14ac:dyDescent="0.2">
      <c r="A123" s="72">
        <v>39843</v>
      </c>
      <c r="B123" s="73">
        <f>Historical_Prices!D130</f>
        <v>-2.0067563050809256E-2</v>
      </c>
      <c r="C123" s="73">
        <f>Historical_Prices!F130</f>
        <v>8.7848295557328114E-3</v>
      </c>
      <c r="D123" s="73">
        <f>Historical_Prices!H130</f>
        <v>-1.579299882881938E-2</v>
      </c>
      <c r="E123" s="73">
        <f>Historical_Prices!J130</f>
        <v>2.2234902251887574E-2</v>
      </c>
      <c r="F123" s="73">
        <f>Historical_Prices!L130</f>
        <v>3.6943515191684276E-2</v>
      </c>
    </row>
    <row r="124" spans="1:6" x14ac:dyDescent="0.2">
      <c r="A124" s="72">
        <v>39850</v>
      </c>
      <c r="B124" s="73">
        <f>Historical_Prices!D131</f>
        <v>6.7340321813441194E-3</v>
      </c>
      <c r="C124" s="73">
        <f>Historical_Prices!F131</f>
        <v>-1.7647516813578228E-2</v>
      </c>
      <c r="D124" s="73">
        <f>Historical_Prices!H131</f>
        <v>0</v>
      </c>
      <c r="E124" s="73">
        <f>Historical_Prices!J131</f>
        <v>4.1797344027080657E-3</v>
      </c>
      <c r="F124" s="73">
        <f>Historical_Prices!L131</f>
        <v>6.7852324937887981E-2</v>
      </c>
    </row>
    <row r="125" spans="1:6" x14ac:dyDescent="0.2">
      <c r="A125" s="72">
        <v>39857</v>
      </c>
      <c r="B125" s="73">
        <f>Historical_Prices!D132</f>
        <v>-4.8119248344198458E-2</v>
      </c>
      <c r="C125" s="73">
        <f>Historical_Prices!F132</f>
        <v>5.2034859123053924E-2</v>
      </c>
      <c r="D125" s="73">
        <f>Historical_Prices!H132</f>
        <v>-1.2320484388040624E-2</v>
      </c>
      <c r="E125" s="73">
        <f>Historical_Prices!J132</f>
        <v>-1.7355155561272314E-2</v>
      </c>
      <c r="F125" s="73">
        <f>Historical_Prices!L132</f>
        <v>2.5807883955872503E-2</v>
      </c>
    </row>
    <row r="126" spans="1:6" x14ac:dyDescent="0.2">
      <c r="A126" s="72">
        <v>39864</v>
      </c>
      <c r="B126" s="73">
        <f>Historical_Prices!D133</f>
        <v>7.0175726586465398E-3</v>
      </c>
      <c r="C126" s="73">
        <f>Historical_Prices!F133</f>
        <v>5.7471353914478641E-2</v>
      </c>
      <c r="D126" s="73">
        <f>Historical_Prices!H133</f>
        <v>-8.2988028146950658E-3</v>
      </c>
      <c r="E126" s="73">
        <f>Historical_Prices!J133</f>
        <v>3.0819885138273259E-2</v>
      </c>
      <c r="F126" s="73">
        <f>Historical_Prices!L133</f>
        <v>4.8801397663217227E-2</v>
      </c>
    </row>
    <row r="127" spans="1:6" x14ac:dyDescent="0.2">
      <c r="A127" s="72">
        <v>39871</v>
      </c>
      <c r="B127" s="73">
        <f>Historical_Prices!D1179</f>
        <v>0</v>
      </c>
      <c r="C127" s="73">
        <f>Historical_Prices!F1179</f>
        <v>0</v>
      </c>
      <c r="D127" s="73">
        <f>Historical_Prices!H1179</f>
        <v>0</v>
      </c>
      <c r="E127" s="73">
        <f>Historical_Prices!J1179</f>
        <v>0</v>
      </c>
      <c r="F127" s="73">
        <f>Historical_Prices!L1179</f>
        <v>0</v>
      </c>
    </row>
    <row r="128" spans="1:6" x14ac:dyDescent="0.2">
      <c r="A128" s="72">
        <v>39878</v>
      </c>
      <c r="B128" s="73">
        <f>Historical_Prices!D135</f>
        <v>2.0067563050809388E-2</v>
      </c>
      <c r="C128" s="73">
        <f>Historical_Prices!F135</f>
        <v>1.0554187678690171E-2</v>
      </c>
      <c r="D128" s="73">
        <f>Historical_Prices!H135</f>
        <v>6.6225407604934569E-3</v>
      </c>
      <c r="E128" s="73">
        <f>Historical_Prices!J135</f>
        <v>-9.4036822631808122E-3</v>
      </c>
      <c r="F128" s="73">
        <f>Historical_Prices!L135</f>
        <v>-4.0426210040787239E-2</v>
      </c>
    </row>
    <row r="129" spans="1:6" x14ac:dyDescent="0.2">
      <c r="A129" s="72">
        <v>39885</v>
      </c>
      <c r="B129" s="73">
        <f>Historical_Prices!D136</f>
        <v>0</v>
      </c>
      <c r="C129" s="73">
        <f>Historical_Prices!F136</f>
        <v>1.0443959161083314E-2</v>
      </c>
      <c r="D129" s="73">
        <f>Historical_Prices!H136</f>
        <v>-8.7011114527361655E-3</v>
      </c>
      <c r="E129" s="73">
        <f>Historical_Prices!J136</f>
        <v>6.9375897679872876E-3</v>
      </c>
      <c r="F129" s="73">
        <f>Historical_Prices!L136</f>
        <v>2.7814163289961898E-2</v>
      </c>
    </row>
    <row r="130" spans="1:6" x14ac:dyDescent="0.2">
      <c r="A130" s="72">
        <v>39892</v>
      </c>
      <c r="B130" s="73">
        <f>Historical_Prices!D137</f>
        <v>0</v>
      </c>
      <c r="C130" s="73">
        <f>Historical_Prices!F137</f>
        <v>-2.365419089788983E-2</v>
      </c>
      <c r="D130" s="73">
        <f>Historical_Prices!H137</f>
        <v>1.2476607981552772E-3</v>
      </c>
      <c r="E130" s="73">
        <f>Historical_Prices!J137</f>
        <v>2.9585820397452626E-3</v>
      </c>
      <c r="F130" s="73">
        <f>Historical_Prices!L137</f>
        <v>4.2896603415514866E-3</v>
      </c>
    </row>
    <row r="131" spans="1:6" x14ac:dyDescent="0.2">
      <c r="A131" s="72">
        <v>39899</v>
      </c>
      <c r="B131" s="73">
        <f>Historical_Prices!D138</f>
        <v>-1.3333530869465144E-2</v>
      </c>
      <c r="C131" s="73">
        <f>Historical_Prices!F138</f>
        <v>-3.2435275753153733E-2</v>
      </c>
      <c r="D131" s="73">
        <f>Historical_Prices!H138</f>
        <v>-5.0000104167056405E-3</v>
      </c>
      <c r="E131" s="73">
        <f>Historical_Prices!J138</f>
        <v>-7.4129323891255223E-3</v>
      </c>
      <c r="F131" s="73">
        <f>Historical_Prices!L138</f>
        <v>-4.9942478868618981E-2</v>
      </c>
    </row>
    <row r="132" spans="1:6" x14ac:dyDescent="0.2">
      <c r="A132" s="72">
        <v>39906</v>
      </c>
      <c r="B132" s="73">
        <f>Historical_Prices!D139</f>
        <v>-6.7340321813440683E-3</v>
      </c>
      <c r="C132" s="73">
        <f>Historical_Prices!F139</f>
        <v>2.4424552007074794E-2</v>
      </c>
      <c r="D132" s="73">
        <f>Historical_Prices!H139</f>
        <v>-5.8651194523981339E-3</v>
      </c>
      <c r="E132" s="73">
        <f>Historical_Prices!J139</f>
        <v>1.4282439285642944E-2</v>
      </c>
      <c r="F132" s="73">
        <f>Historical_Prices!L139</f>
        <v>2.4342402068454502E-2</v>
      </c>
    </row>
    <row r="133" spans="1:6" x14ac:dyDescent="0.2">
      <c r="A133" s="72">
        <v>39913</v>
      </c>
      <c r="B133" s="73">
        <f>Historical_Prices!D140</f>
        <v>6.7340321813441194E-3</v>
      </c>
      <c r="C133" s="73">
        <f>Historical_Prices!F140</f>
        <v>4.4568319479876599E-2</v>
      </c>
      <c r="D133" s="73">
        <f>Historical_Prices!H140</f>
        <v>2.2024576118002372E-2</v>
      </c>
      <c r="E133" s="73">
        <f>Historical_Prices!J140</f>
        <v>8.1208099433410189E-2</v>
      </c>
      <c r="F133" s="73">
        <f>Historical_Prices!L140</f>
        <v>8.7638532858414372E-2</v>
      </c>
    </row>
    <row r="134" spans="1:6" x14ac:dyDescent="0.2">
      <c r="A134" s="72">
        <v>39920</v>
      </c>
      <c r="B134" s="73">
        <f>Historical_Prices!D141</f>
        <v>3.9478810973787422E-2</v>
      </c>
      <c r="C134" s="73">
        <f>Historical_Prices!F141</f>
        <v>3.278982282299097E-2</v>
      </c>
      <c r="D134" s="73">
        <f>Historical_Prices!H141</f>
        <v>5.0882194690085487E-2</v>
      </c>
      <c r="E134" s="73">
        <f>Historical_Prices!J141</f>
        <v>2.8008054374075841E-2</v>
      </c>
      <c r="F134" s="73">
        <f>Historical_Prices!L141</f>
        <v>5.60616014073601E-2</v>
      </c>
    </row>
    <row r="135" spans="1:6" x14ac:dyDescent="0.2">
      <c r="A135" s="72">
        <v>39927</v>
      </c>
      <c r="B135" s="73">
        <f>Historical_Prices!D142</f>
        <v>3.174869831458027E-2</v>
      </c>
      <c r="C135" s="73">
        <f>Historical_Prices!F142</f>
        <v>-9.9751450568195087E-3</v>
      </c>
      <c r="D135" s="73">
        <f>Historical_Prices!H142</f>
        <v>2.5835252211931663E-2</v>
      </c>
      <c r="E135" s="73">
        <f>Historical_Prices!J142</f>
        <v>5.6671179373088784E-2</v>
      </c>
      <c r="F135" s="73">
        <f>Historical_Prices!L142</f>
        <v>1.6348158938306833E-2</v>
      </c>
    </row>
    <row r="136" spans="1:6" x14ac:dyDescent="0.2">
      <c r="A136" s="72">
        <v>39934</v>
      </c>
      <c r="B136" s="73">
        <f>Historical_Prices!D143</f>
        <v>0</v>
      </c>
      <c r="C136" s="73">
        <f>Historical_Prices!F143</f>
        <v>1.2453461071286557E-2</v>
      </c>
      <c r="D136" s="73">
        <f>Historical_Prices!H143</f>
        <v>4.0288925170541855E-2</v>
      </c>
      <c r="E136" s="73">
        <f>Historical_Prices!J143</f>
        <v>3.5805289369379531E-2</v>
      </c>
      <c r="F136" s="73">
        <f>Historical_Prices!L143</f>
        <v>5.6128343624864782E-2</v>
      </c>
    </row>
    <row r="137" spans="1:6" x14ac:dyDescent="0.2">
      <c r="A137" s="72">
        <v>39941</v>
      </c>
      <c r="B137" s="73">
        <f>Historical_Prices!D144</f>
        <v>2.4692612590371414E-2</v>
      </c>
      <c r="C137" s="73">
        <f>Historical_Prices!F144</f>
        <v>3.4066554563606272E-2</v>
      </c>
      <c r="D137" s="73">
        <f>Historical_Prices!H144</f>
        <v>3.7672616299170042E-2</v>
      </c>
      <c r="E137" s="73">
        <f>Historical_Prices!J144</f>
        <v>3.8421032982717013E-2</v>
      </c>
      <c r="F137" s="73">
        <f>Historical_Prices!L144</f>
        <v>7.056396371899272E-2</v>
      </c>
    </row>
    <row r="138" spans="1:6" x14ac:dyDescent="0.2">
      <c r="A138" s="72">
        <v>39948</v>
      </c>
      <c r="B138" s="73">
        <f>Historical_Prices!D145</f>
        <v>3.0032287098875076E-2</v>
      </c>
      <c r="C138" s="73">
        <f>Historical_Prices!F145</f>
        <v>-1.2033839563723565E-2</v>
      </c>
      <c r="D138" s="73">
        <f>Historical_Prices!H145</f>
        <v>1.5720847786948246E-2</v>
      </c>
      <c r="E138" s="73">
        <f>Historical_Prices!J145</f>
        <v>1.4888612493750559E-2</v>
      </c>
      <c r="F138" s="73">
        <f>Historical_Prices!L145</f>
        <v>3.5167103222317669E-2</v>
      </c>
    </row>
    <row r="139" spans="1:6" x14ac:dyDescent="0.2">
      <c r="A139" s="72">
        <v>39955</v>
      </c>
      <c r="B139" s="73">
        <f>Historical_Prices!D146</f>
        <v>5.899722127188322E-3</v>
      </c>
      <c r="C139" s="73">
        <f>Historical_Prices!F146</f>
        <v>-7.8026984354457582E-2</v>
      </c>
      <c r="D139" s="73">
        <f>Historical_Prices!H146</f>
        <v>-4.7923988281583008E-2</v>
      </c>
      <c r="E139" s="73">
        <f>Historical_Prices!J146</f>
        <v>4.1595824769439472E-3</v>
      </c>
      <c r="F139" s="73">
        <f>Historical_Prices!L146</f>
        <v>2.3664426139163943E-2</v>
      </c>
    </row>
    <row r="140" spans="1:6" x14ac:dyDescent="0.2">
      <c r="A140" s="72">
        <v>39962</v>
      </c>
      <c r="B140" s="73">
        <f>Historical_Prices!D147</f>
        <v>-1.7804624633506707E-2</v>
      </c>
      <c r="C140" s="73">
        <f>Historical_Prices!F147</f>
        <v>-4.5523255024083699E-2</v>
      </c>
      <c r="D140" s="73">
        <f>Historical_Prices!H147</f>
        <v>-5.225069034387788E-2</v>
      </c>
      <c r="E140" s="73">
        <f>Historical_Prices!J147</f>
        <v>-2.1744133441603482E-2</v>
      </c>
      <c r="F140" s="73">
        <f>Historical_Prices!L147</f>
        <v>-2.4574206338383062E-2</v>
      </c>
    </row>
    <row r="141" spans="1:6" x14ac:dyDescent="0.2">
      <c r="A141" s="72">
        <v>39969</v>
      </c>
      <c r="B141" s="73">
        <f>Historical_Prices!D148</f>
        <v>-6.0060240602119218E-3</v>
      </c>
      <c r="C141" s="73">
        <f>Historical_Prices!F148</f>
        <v>-5.9255696209093135E-2</v>
      </c>
      <c r="D141" s="73">
        <f>Historical_Prices!H148</f>
        <v>-8.9061544022244338E-2</v>
      </c>
      <c r="E141" s="73">
        <f>Historical_Prices!J148</f>
        <v>-1.1637059174593211E-2</v>
      </c>
      <c r="F141" s="73">
        <f>Historical_Prices!L148</f>
        <v>1.4308550464670975E-2</v>
      </c>
    </row>
    <row r="142" spans="1:6" x14ac:dyDescent="0.2">
      <c r="A142" s="72">
        <v>39976</v>
      </c>
      <c r="B142" s="73">
        <f>Historical_Prices!D149</f>
        <v>-6.0423144559625863E-3</v>
      </c>
      <c r="C142" s="73">
        <f>Historical_Prices!F149</f>
        <v>-0.11054187439982384</v>
      </c>
      <c r="D142" s="73">
        <f>Historical_Prices!H149</f>
        <v>-0.18921407798668172</v>
      </c>
      <c r="E142" s="73">
        <f>Historical_Prices!J149</f>
        <v>-3.3323194328880666E-2</v>
      </c>
      <c r="F142" s="73">
        <f>Historical_Prices!L149</f>
        <v>-9.4009993560054184E-2</v>
      </c>
    </row>
    <row r="143" spans="1:6" x14ac:dyDescent="0.2">
      <c r="A143" s="72">
        <v>39983</v>
      </c>
      <c r="B143" s="73">
        <f>Historical_Prices!D150</f>
        <v>-4.3350440873613741E-2</v>
      </c>
      <c r="C143" s="73">
        <f>Historical_Prices!F150</f>
        <v>3.2414939241710229E-3</v>
      </c>
      <c r="D143" s="73">
        <f>Historical_Prices!H150</f>
        <v>-9.8858979473012476E-2</v>
      </c>
      <c r="E143" s="73">
        <f>Historical_Prices!J150</f>
        <v>-2.7813653854019516E-2</v>
      </c>
      <c r="F143" s="73">
        <f>Historical_Prices!L150</f>
        <v>-4.7263483909349112E-2</v>
      </c>
    </row>
    <row r="144" spans="1:6" x14ac:dyDescent="0.2">
      <c r="A144" s="72">
        <v>39990</v>
      </c>
      <c r="B144" s="73">
        <f>Historical_Prices!D151</f>
        <v>-2.564243061333767E-2</v>
      </c>
      <c r="C144" s="73">
        <f>Historical_Prices!F151</f>
        <v>-2.9558802241544391E-2</v>
      </c>
      <c r="D144" s="73">
        <f>Historical_Prices!H151</f>
        <v>-6.6402454575633887E-2</v>
      </c>
      <c r="E144" s="73">
        <f>Historical_Prices!J151</f>
        <v>2.0119750745237357E-2</v>
      </c>
      <c r="F144" s="73">
        <f>Historical_Prices!L151</f>
        <v>7.272913705074735E-2</v>
      </c>
    </row>
    <row r="145" spans="1:6" x14ac:dyDescent="0.2">
      <c r="A145" s="72">
        <v>39997</v>
      </c>
      <c r="B145" s="73">
        <f>Historical_Prices!D152</f>
        <v>6.4725145056175196E-3</v>
      </c>
      <c r="C145" s="73">
        <f>Historical_Prices!F152</f>
        <v>1.6529301951210506E-2</v>
      </c>
      <c r="D145" s="73">
        <f>Historical_Prices!H152</f>
        <v>-2.1116923440922697E-2</v>
      </c>
      <c r="E145" s="73">
        <f>Historical_Prices!J152</f>
        <v>2.051973023117654E-2</v>
      </c>
      <c r="F145" s="73">
        <f>Historical_Prices!L152</f>
        <v>4.6621926463006592E-2</v>
      </c>
    </row>
    <row r="146" spans="1:6" x14ac:dyDescent="0.2">
      <c r="A146" s="72">
        <v>40004</v>
      </c>
      <c r="B146" s="73">
        <f>Historical_Prices!D153</f>
        <v>0</v>
      </c>
      <c r="C146" s="73">
        <f>Historical_Prices!F153</f>
        <v>8.4823192309076922E-2</v>
      </c>
      <c r="D146" s="73">
        <f>Historical_Prices!H153</f>
        <v>-2.4420036555517443E-3</v>
      </c>
      <c r="E146" s="73">
        <f>Historical_Prices!J153</f>
        <v>3.3290718666395637E-2</v>
      </c>
      <c r="F146" s="73">
        <f>Historical_Prices!L153</f>
        <v>5.139264744636908E-2</v>
      </c>
    </row>
    <row r="147" spans="1:6" x14ac:dyDescent="0.2">
      <c r="A147" s="72">
        <v>40011</v>
      </c>
      <c r="B147" s="73">
        <f>Historical_Prices!D154</f>
        <v>0</v>
      </c>
      <c r="C147" s="73">
        <f>Historical_Prices!F154</f>
        <v>-6.8562671437296538E-2</v>
      </c>
      <c r="D147" s="73">
        <f>Historical_Prices!H154</f>
        <v>-2.8520221948415147E-2</v>
      </c>
      <c r="E147" s="73">
        <f>Historical_Prices!J154</f>
        <v>-6.1823999083175391E-3</v>
      </c>
      <c r="F147" s="73">
        <f>Historical_Prices!L154</f>
        <v>1.2409971676312581E-2</v>
      </c>
    </row>
    <row r="148" spans="1:6" x14ac:dyDescent="0.2">
      <c r="A148" s="72">
        <v>40018</v>
      </c>
      <c r="B148" s="73">
        <f>Historical_Prices!D155</f>
        <v>-2.614528010432236E-2</v>
      </c>
      <c r="C148" s="73">
        <f>Historical_Prices!F155</f>
        <v>-2.2839491969822903E-2</v>
      </c>
      <c r="D148" s="73">
        <f>Historical_Prices!H155</f>
        <v>-2.483413203773838E-2</v>
      </c>
      <c r="E148" s="73">
        <f>Historical_Prices!J155</f>
        <v>-3.10559255815313E-3</v>
      </c>
      <c r="F148" s="73">
        <f>Historical_Prices!L155</f>
        <v>-1.750496777700036E-2</v>
      </c>
    </row>
    <row r="149" spans="1:6" x14ac:dyDescent="0.2">
      <c r="A149" s="72">
        <v>40025</v>
      </c>
      <c r="B149" s="73">
        <f>Historical_Prices!D156</f>
        <v>1.9672765598704928E-2</v>
      </c>
      <c r="C149" s="73">
        <f>Historical_Prices!F156</f>
        <v>2.9270382300113237E-2</v>
      </c>
      <c r="D149" s="73">
        <f>Historical_Prices!H156</f>
        <v>-1.3632148790057644E-2</v>
      </c>
      <c r="E149" s="73">
        <f>Historical_Prices!J156</f>
        <v>-7.4146681160261784E-3</v>
      </c>
      <c r="F149" s="73">
        <f>Historical_Prices!L156</f>
        <v>2.1798048211507298E-2</v>
      </c>
    </row>
    <row r="150" spans="1:6" x14ac:dyDescent="0.2">
      <c r="A150" s="72">
        <v>40032</v>
      </c>
      <c r="B150" s="73">
        <f>Historical_Prices!D157</f>
        <v>-6.5146810211937538E-3</v>
      </c>
      <c r="C150" s="73">
        <f>Historical_Prices!F157</f>
        <v>0</v>
      </c>
      <c r="D150" s="73">
        <f>Historical_Prices!H157</f>
        <v>-1.9627091678488173E-3</v>
      </c>
      <c r="E150" s="73">
        <f>Historical_Prices!J157</f>
        <v>-1.3407140888873521E-2</v>
      </c>
      <c r="F150" s="73">
        <f>Historical_Prices!L157</f>
        <v>-6.2607880906515423E-2</v>
      </c>
    </row>
    <row r="151" spans="1:6" x14ac:dyDescent="0.2">
      <c r="A151" s="72">
        <v>40039</v>
      </c>
      <c r="B151" s="73">
        <f>Historical_Prices!D158</f>
        <v>0</v>
      </c>
      <c r="C151" s="73">
        <f>Historical_Prices!F158</f>
        <v>-2.2691411202070879E-2</v>
      </c>
      <c r="D151" s="73">
        <f>Historical_Prices!H158</f>
        <v>-5.3844768609850862E-3</v>
      </c>
      <c r="E151" s="73">
        <f>Historical_Prices!J158</f>
        <v>-7.9713455176578692E-3</v>
      </c>
      <c r="F151" s="73">
        <f>Historical_Prices!L158</f>
        <v>2.1803735720034384E-2</v>
      </c>
    </row>
    <row r="152" spans="1:6" x14ac:dyDescent="0.2">
      <c r="A152" s="72">
        <v>40046</v>
      </c>
      <c r="B152" s="73">
        <f>Historical_Prices!D159</f>
        <v>0</v>
      </c>
      <c r="C152" s="73">
        <f>Historical_Prices!F159</f>
        <v>4.1739606172765342E-2</v>
      </c>
      <c r="D152" s="73">
        <f>Historical_Prices!H159</f>
        <v>5.8934554819327134E-2</v>
      </c>
      <c r="E152" s="73">
        <f>Historical_Prices!J159</f>
        <v>-8.8425013455929527E-3</v>
      </c>
      <c r="F152" s="73">
        <f>Historical_Prices!L159</f>
        <v>6.2277781358517281E-3</v>
      </c>
    </row>
    <row r="153" spans="1:6" x14ac:dyDescent="0.2">
      <c r="A153" s="72">
        <v>40053</v>
      </c>
      <c r="B153" s="73">
        <f>Historical_Prices!D160</f>
        <v>1.2987195526811112E-2</v>
      </c>
      <c r="C153" s="73">
        <f>Historical_Prices!F160</f>
        <v>-1.5848192240023727E-2</v>
      </c>
      <c r="D153" s="73">
        <f>Historical_Prices!H160</f>
        <v>6.0222890715219038E-2</v>
      </c>
      <c r="E153" s="73">
        <f>Historical_Prices!J160</f>
        <v>-2.1216626117775989E-2</v>
      </c>
      <c r="F153" s="73">
        <f>Historical_Prices!L160</f>
        <v>-1.2644274074197125E-2</v>
      </c>
    </row>
    <row r="154" spans="1:6" x14ac:dyDescent="0.2">
      <c r="A154" s="72">
        <v>40060</v>
      </c>
      <c r="B154" s="73">
        <f>Historical_Prices!D161</f>
        <v>1.9169916107720123E-2</v>
      </c>
      <c r="C154" s="73">
        <f>Historical_Prices!F161</f>
        <v>5.2889463920372637E-2</v>
      </c>
      <c r="D154" s="73">
        <f>Historical_Prices!H161</f>
        <v>3.1639107271711937E-2</v>
      </c>
      <c r="E154" s="73">
        <f>Historical_Prices!J161</f>
        <v>-1.2030844136243583E-2</v>
      </c>
      <c r="F154" s="73">
        <f>Historical_Prices!L161</f>
        <v>-4.0790807381828463E-2</v>
      </c>
    </row>
    <row r="155" spans="1:6" x14ac:dyDescent="0.2">
      <c r="A155" s="72">
        <v>40067</v>
      </c>
      <c r="B155" s="73">
        <f>Historical_Prices!D162</f>
        <v>5.5398779389788169E-2</v>
      </c>
      <c r="C155" s="73">
        <f>Historical_Prices!F162</f>
        <v>3.8637792705414134E-2</v>
      </c>
      <c r="D155" s="73">
        <f>Historical_Prices!H162</f>
        <v>9.0356098044425653E-2</v>
      </c>
      <c r="E155" s="73">
        <f>Historical_Prices!J162</f>
        <v>1.49132838507176E-2</v>
      </c>
      <c r="F155" s="73">
        <f>Historical_Prices!L162</f>
        <v>3.3579237666267886E-2</v>
      </c>
    </row>
    <row r="156" spans="1:6" x14ac:dyDescent="0.2">
      <c r="A156" s="72">
        <v>40074</v>
      </c>
      <c r="B156" s="73">
        <f>Historical_Prices!D163</f>
        <v>6.3789737875330002E-2</v>
      </c>
      <c r="C156" s="73">
        <f>Historical_Prices!F163</f>
        <v>6.7631400888630275E-2</v>
      </c>
      <c r="D156" s="73">
        <f>Historical_Prices!H163</f>
        <v>7.3294693487032783E-2</v>
      </c>
      <c r="E156" s="73">
        <f>Historical_Prices!J163</f>
        <v>4.0295540178009237E-2</v>
      </c>
      <c r="F156" s="73">
        <f>Historical_Prices!L163</f>
        <v>4.8560371556253465E-2</v>
      </c>
    </row>
    <row r="157" spans="1:6" x14ac:dyDescent="0.2">
      <c r="A157" s="72">
        <v>40081</v>
      </c>
      <c r="B157" s="73">
        <f>Historical_Prices!D164</f>
        <v>5.4658412537863979E-2</v>
      </c>
      <c r="C157" s="73">
        <f>Historical_Prices!F164</f>
        <v>2.9532347565017308E-2</v>
      </c>
      <c r="D157" s="73">
        <f>Historical_Prices!H164</f>
        <v>5.745217410697958E-2</v>
      </c>
      <c r="E157" s="73">
        <f>Historical_Prices!J164</f>
        <v>4.2148129033065314E-2</v>
      </c>
      <c r="F157" s="73">
        <f>Historical_Prices!L164</f>
        <v>7.1766002597138612E-2</v>
      </c>
    </row>
    <row r="158" spans="1:6" x14ac:dyDescent="0.2">
      <c r="A158" s="72">
        <v>40088</v>
      </c>
      <c r="B158" s="73">
        <f>Historical_Prices!D165</f>
        <v>3.1416196233378914E-2</v>
      </c>
      <c r="C158" s="73">
        <f>Historical_Prices!F165</f>
        <v>-3.2260862218221324E-2</v>
      </c>
      <c r="D158" s="73">
        <f>Historical_Prices!H165</f>
        <v>4.0912775692302394E-2</v>
      </c>
      <c r="E158" s="73">
        <f>Historical_Prices!J165</f>
        <v>7.168489478612497E-3</v>
      </c>
      <c r="F158" s="73">
        <f>Historical_Prices!L165</f>
        <v>1.1167358809825187E-2</v>
      </c>
    </row>
    <row r="159" spans="1:6" x14ac:dyDescent="0.2">
      <c r="A159" s="72">
        <v>40095</v>
      </c>
      <c r="B159" s="73">
        <f>Historical_Prices!D166</f>
        <v>-5.1679701584425612E-3</v>
      </c>
      <c r="C159" s="73">
        <f>Historical_Prices!F166</f>
        <v>-1.3755375068485457E-2</v>
      </c>
      <c r="D159" s="73">
        <f>Historical_Prices!H166</f>
        <v>6.5146810211936723E-3</v>
      </c>
      <c r="E159" s="73">
        <f>Historical_Prices!J166</f>
        <v>-1.2483612090204996E-2</v>
      </c>
      <c r="F159" s="73">
        <f>Historical_Prices!L166</f>
        <v>-4.3723156769963764E-3</v>
      </c>
    </row>
    <row r="160" spans="1:6" x14ac:dyDescent="0.2">
      <c r="A160" s="72">
        <v>40102</v>
      </c>
      <c r="B160" s="73">
        <f>Historical_Prices!D167</f>
        <v>5.1679701584425976E-3</v>
      </c>
      <c r="C160" s="73">
        <f>Historical_Prices!F167</f>
        <v>5.5248759319698072E-3</v>
      </c>
      <c r="D160" s="73">
        <f>Historical_Prices!H167</f>
        <v>1.5037877364540502E-2</v>
      </c>
      <c r="E160" s="73">
        <f>Historical_Prices!J167</f>
        <v>-1.6117002743010256E-2</v>
      </c>
      <c r="F160" s="73">
        <f>Historical_Prices!L167</f>
        <v>-1.1485168983242299E-2</v>
      </c>
    </row>
    <row r="161" spans="1:6" x14ac:dyDescent="0.2">
      <c r="A161" s="72">
        <v>40109</v>
      </c>
      <c r="B161" s="73">
        <f>Historical_Prices!D168</f>
        <v>3.0459207484708654E-2</v>
      </c>
      <c r="C161" s="73">
        <f>Historical_Prices!F168</f>
        <v>2.9852963149681343E-2</v>
      </c>
      <c r="D161" s="73">
        <f>Historical_Prices!H168</f>
        <v>1.2712035588361944E-2</v>
      </c>
      <c r="E161" s="73">
        <f>Historical_Prices!J168</f>
        <v>6.9391180520359799E-3</v>
      </c>
      <c r="F161" s="73">
        <f>Historical_Prices!L168</f>
        <v>-1.209596276774739E-3</v>
      </c>
    </row>
    <row r="162" spans="1:6" x14ac:dyDescent="0.2">
      <c r="A162" s="72">
        <v>40116</v>
      </c>
      <c r="B162" s="73">
        <f>Historical_Prices!D169</f>
        <v>3.4401426717332317E-2</v>
      </c>
      <c r="C162" s="73">
        <f>Historical_Prices!F169</f>
        <v>-3.8151765964376291E-2</v>
      </c>
      <c r="D162" s="73">
        <f>Historical_Prices!H169</f>
        <v>-1.1603907784562169E-2</v>
      </c>
      <c r="E162" s="73">
        <f>Historical_Prices!J169</f>
        <v>-3.4635401181763322E-3</v>
      </c>
      <c r="F162" s="73">
        <f>Historical_Prices!L169</f>
        <v>-1.3812000210063211E-2</v>
      </c>
    </row>
    <row r="163" spans="1:6" x14ac:dyDescent="0.2">
      <c r="A163" s="72">
        <v>40123</v>
      </c>
      <c r="B163" s="73">
        <f>Historical_Prices!D170</f>
        <v>-9.7088141269609379E-3</v>
      </c>
      <c r="C163" s="73">
        <f>Historical_Prices!F170</f>
        <v>2.4692612590371414E-2</v>
      </c>
      <c r="D163" s="73">
        <f>Historical_Prices!H170</f>
        <v>-6.6672612137965012E-3</v>
      </c>
      <c r="E163" s="73">
        <f>Historical_Prices!J170</f>
        <v>2.6949005722623764E-3</v>
      </c>
      <c r="F163" s="73">
        <f>Historical_Prices!L170</f>
        <v>2.4513154042515952E-3</v>
      </c>
    </row>
    <row r="164" spans="1:6" x14ac:dyDescent="0.2">
      <c r="A164" s="72">
        <v>40130</v>
      </c>
      <c r="B164" s="73">
        <f>Historical_Prices!D171</f>
        <v>0</v>
      </c>
      <c r="C164" s="73">
        <f>Historical_Prices!F171</f>
        <v>-7.0154986667128869E-2</v>
      </c>
      <c r="D164" s="73">
        <f>Historical_Prices!H171</f>
        <v>-8.1808852389437074E-3</v>
      </c>
      <c r="E164" s="73">
        <f>Historical_Prices!J171</f>
        <v>-1.5888727975043353E-2</v>
      </c>
      <c r="F164" s="73">
        <f>Historical_Prices!L171</f>
        <v>-2.3951592327970297E-2</v>
      </c>
    </row>
    <row r="165" spans="1:6" x14ac:dyDescent="0.2">
      <c r="A165" s="72">
        <v>40137</v>
      </c>
      <c r="B165" s="73">
        <f>Historical_Prices!D172</f>
        <v>-4.4895319907890877E-2</v>
      </c>
      <c r="C165" s="73">
        <f>Historical_Prices!F172</f>
        <v>7.2861348264871895E-2</v>
      </c>
      <c r="D165" s="73">
        <f>Historical_Prices!H172</f>
        <v>-4.3292979752203246E-2</v>
      </c>
      <c r="E165" s="73">
        <f>Historical_Prices!J172</f>
        <v>-5.4837583562564645E-3</v>
      </c>
      <c r="F165" s="73">
        <f>Historical_Prices!L172</f>
        <v>-4.6626165704653472E-2</v>
      </c>
    </row>
    <row r="166" spans="1:6" x14ac:dyDescent="0.2">
      <c r="A166" s="72">
        <v>40144</v>
      </c>
      <c r="B166" s="73">
        <f>Historical_Prices!D173</f>
        <v>-4.7006042375930486E-2</v>
      </c>
      <c r="C166" s="73">
        <f>Historical_Prices!F173</f>
        <v>-8.1411575836998849E-3</v>
      </c>
      <c r="D166" s="73">
        <f>Historical_Prices!H173</f>
        <v>-1.8223738956451498E-2</v>
      </c>
      <c r="E166" s="73">
        <f>Historical_Prices!J173</f>
        <v>7.0450389232088384E-3</v>
      </c>
      <c r="F166" s="73">
        <f>Historical_Prices!L173</f>
        <v>2.0658011620421982E-2</v>
      </c>
    </row>
    <row r="167" spans="1:6" x14ac:dyDescent="0.2">
      <c r="A167" s="72">
        <v>40151</v>
      </c>
      <c r="B167" s="73">
        <f>Historical_Prices!D174</f>
        <v>0</v>
      </c>
      <c r="C167" s="73">
        <f>Historical_Prices!F174</f>
        <v>3.7437527072130806E-2</v>
      </c>
      <c r="D167" s="73">
        <f>Historical_Prices!H174</f>
        <v>-2.3256862164267235E-2</v>
      </c>
      <c r="E167" s="73">
        <f>Historical_Prices!J174</f>
        <v>2.4273971644979107E-2</v>
      </c>
      <c r="F167" s="73">
        <f>Historical_Prices!L174</f>
        <v>5.656248757414524E-2</v>
      </c>
    </row>
    <row r="168" spans="1:6" x14ac:dyDescent="0.2">
      <c r="A168" s="72">
        <v>40158</v>
      </c>
      <c r="B168" s="73">
        <f>Historical_Prices!D175</f>
        <v>0</v>
      </c>
      <c r="C168" s="73">
        <f>Historical_Prices!F175</f>
        <v>1.3037994338129801E-2</v>
      </c>
      <c r="D168" s="73">
        <f>Historical_Prices!H175</f>
        <v>-3.1065819574890487E-2</v>
      </c>
      <c r="E168" s="73">
        <f>Historical_Prices!J175</f>
        <v>3.3685819740807921E-2</v>
      </c>
      <c r="F168" s="73">
        <f>Historical_Prices!L175</f>
        <v>5.2123918112133377E-2</v>
      </c>
    </row>
    <row r="169" spans="1:6" x14ac:dyDescent="0.2">
      <c r="A169" s="72">
        <v>40165</v>
      </c>
      <c r="B169" s="73">
        <f>Historical_Prices!D176</f>
        <v>-5.3619431413853991E-3</v>
      </c>
      <c r="C169" s="73">
        <f>Historical_Prices!F176</f>
        <v>-4.2334363826560653E-2</v>
      </c>
      <c r="D169" s="73">
        <f>Historical_Prices!H176</f>
        <v>-1.4670189747793742E-2</v>
      </c>
      <c r="E169" s="73">
        <f>Historical_Prices!J176</f>
        <v>-5.1660631499002643E-3</v>
      </c>
      <c r="F169" s="73">
        <f>Historical_Prices!L176</f>
        <v>-8.9818444480589481E-4</v>
      </c>
    </row>
    <row r="170" spans="1:6" x14ac:dyDescent="0.2">
      <c r="A170" s="72">
        <v>40172</v>
      </c>
      <c r="B170" s="73">
        <f>Historical_Prices!D177</f>
        <v>-3.836086787244633E-2</v>
      </c>
      <c r="C170" s="73">
        <f>Historical_Prices!F177</f>
        <v>-7.5772558472330248E-2</v>
      </c>
      <c r="D170" s="73">
        <f>Historical_Prices!H177</f>
        <v>-9.9010709827115698E-3</v>
      </c>
      <c r="E170" s="73">
        <f>Historical_Prices!J177</f>
        <v>-1.3783045537793637E-2</v>
      </c>
      <c r="F170" s="73">
        <f>Historical_Prices!L177</f>
        <v>-4.7449599712987761E-2</v>
      </c>
    </row>
    <row r="171" spans="1:6" x14ac:dyDescent="0.2">
      <c r="A171" s="72">
        <v>40179</v>
      </c>
      <c r="B171" s="73">
        <f>Historical_Prices!D178</f>
        <v>-2.2599831917240919E-2</v>
      </c>
      <c r="C171" s="73">
        <f>Historical_Prices!F178</f>
        <v>-5.8479698824230996E-3</v>
      </c>
      <c r="D171" s="73">
        <f>Historical_Prices!H178</f>
        <v>1.7263067423780771E-2</v>
      </c>
      <c r="E171" s="73">
        <f>Historical_Prices!J178</f>
        <v>-1.8168554268808711E-2</v>
      </c>
      <c r="F171" s="73">
        <f>Historical_Prices!L178</f>
        <v>-4.1220288034177814E-2</v>
      </c>
    </row>
    <row r="172" spans="1:6" x14ac:dyDescent="0.2">
      <c r="A172" s="72">
        <v>40186</v>
      </c>
      <c r="B172" s="73">
        <f>Historical_Prices!D179</f>
        <v>-1.1494379425735134E-2</v>
      </c>
      <c r="C172" s="73">
        <f>Historical_Prices!F179</f>
        <v>-1.1799546931155055E-2</v>
      </c>
      <c r="D172" s="73">
        <f>Historical_Prices!H179</f>
        <v>1.456336418789651E-2</v>
      </c>
      <c r="E172" s="73">
        <f>Historical_Prices!J179</f>
        <v>-2.6773777707162919E-3</v>
      </c>
      <c r="F172" s="73">
        <f>Historical_Prices!L179</f>
        <v>-7.4621958379525654E-3</v>
      </c>
    </row>
    <row r="173" spans="1:6" x14ac:dyDescent="0.2">
      <c r="A173" s="72">
        <v>40193</v>
      </c>
      <c r="B173" s="73">
        <f>Historical_Prices!D642</f>
        <v>0</v>
      </c>
      <c r="C173" s="73">
        <f>Historical_Prices!F642</f>
        <v>0</v>
      </c>
      <c r="D173" s="73">
        <f>Historical_Prices!H642</f>
        <v>0</v>
      </c>
      <c r="E173" s="73">
        <f>Historical_Prices!J642</f>
        <v>0</v>
      </c>
      <c r="F173" s="73">
        <f>Historical_Prices!L642</f>
        <v>0</v>
      </c>
    </row>
    <row r="174" spans="1:6" x14ac:dyDescent="0.2">
      <c r="A174" s="72">
        <v>40200</v>
      </c>
      <c r="B174" s="73">
        <f>Historical_Prices!D643</f>
        <v>0</v>
      </c>
      <c r="C174" s="73">
        <f>Historical_Prices!F643</f>
        <v>0</v>
      </c>
      <c r="D174" s="73">
        <f>Historical_Prices!H643</f>
        <v>0</v>
      </c>
      <c r="E174" s="73">
        <f>Historical_Prices!J643</f>
        <v>0</v>
      </c>
      <c r="F174" s="73">
        <f>Historical_Prices!L643</f>
        <v>0</v>
      </c>
    </row>
    <row r="175" spans="1:6" x14ac:dyDescent="0.2">
      <c r="A175" s="72">
        <v>40207</v>
      </c>
      <c r="B175" s="73">
        <f>Historical_Prices!D644</f>
        <v>0</v>
      </c>
      <c r="C175" s="73">
        <f>Historical_Prices!F644</f>
        <v>0</v>
      </c>
      <c r="D175" s="73">
        <f>Historical_Prices!H644</f>
        <v>0</v>
      </c>
      <c r="E175" s="73">
        <f>Historical_Prices!J644</f>
        <v>0</v>
      </c>
      <c r="F175" s="73">
        <f>Historical_Prices!L644</f>
        <v>0</v>
      </c>
    </row>
    <row r="176" spans="1:6" x14ac:dyDescent="0.2">
      <c r="A176" s="72">
        <v>40214</v>
      </c>
      <c r="B176" s="73">
        <f>Historical_Prices!D645</f>
        <v>0</v>
      </c>
      <c r="C176" s="73">
        <f>Historical_Prices!F645</f>
        <v>0</v>
      </c>
      <c r="D176" s="73">
        <f>Historical_Prices!H645</f>
        <v>0</v>
      </c>
      <c r="E176" s="73">
        <f>Historical_Prices!J645</f>
        <v>0</v>
      </c>
      <c r="F176" s="73">
        <f>Historical_Prices!L645</f>
        <v>0</v>
      </c>
    </row>
    <row r="177" spans="1:6" x14ac:dyDescent="0.2">
      <c r="A177" s="72">
        <v>40221</v>
      </c>
      <c r="B177" s="73">
        <f>Historical_Prices!D6179</f>
        <v>0</v>
      </c>
      <c r="C177" s="73">
        <f>Historical_Prices!F6179</f>
        <v>0</v>
      </c>
      <c r="D177" s="73">
        <f>Historical_Prices!H6179</f>
        <v>0</v>
      </c>
      <c r="E177" s="73">
        <f>Historical_Prices!J6179</f>
        <v>0</v>
      </c>
      <c r="F177" s="73">
        <f>Historical_Prices!L6179</f>
        <v>0</v>
      </c>
    </row>
    <row r="178" spans="1:6" x14ac:dyDescent="0.2">
      <c r="A178" s="72">
        <v>40228</v>
      </c>
      <c r="B178" s="73">
        <f>Historical_Prices!D647</f>
        <v>0</v>
      </c>
      <c r="C178" s="73">
        <f>Historical_Prices!F647</f>
        <v>0</v>
      </c>
      <c r="D178" s="73">
        <f>Historical_Prices!H647</f>
        <v>0</v>
      </c>
      <c r="E178" s="73">
        <f>Historical_Prices!J647</f>
        <v>0</v>
      </c>
      <c r="F178" s="73">
        <f>Historical_Prices!L647</f>
        <v>0</v>
      </c>
    </row>
    <row r="179" spans="1:6" x14ac:dyDescent="0.2">
      <c r="A179" s="72">
        <v>40235</v>
      </c>
      <c r="B179" s="73">
        <f>Historical_Prices!D648</f>
        <v>0</v>
      </c>
      <c r="C179" s="73">
        <f>Historical_Prices!F648</f>
        <v>0</v>
      </c>
      <c r="D179" s="73">
        <f>Historical_Prices!H648</f>
        <v>0</v>
      </c>
      <c r="E179" s="73">
        <f>Historical_Prices!J648</f>
        <v>0</v>
      </c>
      <c r="F179" s="73">
        <f>Historical_Prices!L648</f>
        <v>0</v>
      </c>
    </row>
    <row r="180" spans="1:6" x14ac:dyDescent="0.2">
      <c r="A180" s="72">
        <v>40242</v>
      </c>
      <c r="B180" s="73">
        <f>Historical_Prices!D649</f>
        <v>0</v>
      </c>
      <c r="C180" s="73">
        <f>Historical_Prices!F649</f>
        <v>0</v>
      </c>
      <c r="D180" s="73">
        <f>Historical_Prices!H649</f>
        <v>0</v>
      </c>
      <c r="E180" s="73">
        <f>Historical_Prices!J649</f>
        <v>0</v>
      </c>
      <c r="F180" s="73">
        <f>Historical_Prices!L649</f>
        <v>0</v>
      </c>
    </row>
    <row r="181" spans="1:6" x14ac:dyDescent="0.2">
      <c r="A181" s="72">
        <v>40249</v>
      </c>
      <c r="B181" s="73">
        <f>Historical_Prices!D650</f>
        <v>0</v>
      </c>
      <c r="C181" s="73">
        <f>Historical_Prices!F650</f>
        <v>0</v>
      </c>
      <c r="D181" s="73">
        <f>Historical_Prices!H650</f>
        <v>0</v>
      </c>
      <c r="E181" s="73">
        <f>Historical_Prices!J650</f>
        <v>0</v>
      </c>
      <c r="F181" s="73">
        <f>Historical_Prices!L650</f>
        <v>0</v>
      </c>
    </row>
    <row r="182" spans="1:6" x14ac:dyDescent="0.2">
      <c r="A182" s="72">
        <v>40256</v>
      </c>
      <c r="B182" s="73">
        <f>Historical_Prices!D651</f>
        <v>0</v>
      </c>
      <c r="C182" s="73">
        <f>Historical_Prices!F651</f>
        <v>0</v>
      </c>
      <c r="D182" s="73">
        <f>Historical_Prices!H651</f>
        <v>0</v>
      </c>
      <c r="E182" s="73">
        <f>Historical_Prices!J651</f>
        <v>0</v>
      </c>
      <c r="F182" s="73">
        <f>Historical_Prices!L651</f>
        <v>0</v>
      </c>
    </row>
    <row r="183" spans="1:6" x14ac:dyDescent="0.2">
      <c r="A183" s="72">
        <v>40263</v>
      </c>
      <c r="B183" s="73">
        <f>Historical_Prices!D190</f>
        <v>0</v>
      </c>
      <c r="C183" s="73">
        <f>Historical_Prices!F190</f>
        <v>1.17303397854896E-2</v>
      </c>
      <c r="D183" s="73">
        <f>Historical_Prices!H190</f>
        <v>4.817887409326458E-2</v>
      </c>
      <c r="E183" s="73">
        <f>Historical_Prices!J190</f>
        <v>-5.6677445381088541E-3</v>
      </c>
      <c r="F183" s="73">
        <f>Historical_Prices!L190</f>
        <v>-1.6674257745051314E-2</v>
      </c>
    </row>
    <row r="184" spans="1:6" x14ac:dyDescent="0.2">
      <c r="A184" s="72">
        <v>40270</v>
      </c>
      <c r="B184" s="73">
        <f>Historical_Prices!D191</f>
        <v>1.3889112160667093E-2</v>
      </c>
      <c r="C184" s="73">
        <f>Historical_Prices!F191</f>
        <v>-1.4684551682921182E-2</v>
      </c>
      <c r="D184" s="73">
        <f>Historical_Prices!H191</f>
        <v>3.4669522624568357E-2</v>
      </c>
      <c r="E184" s="73">
        <f>Historical_Prices!J191</f>
        <v>1.7256987506745442E-2</v>
      </c>
      <c r="F184" s="73">
        <f>Historical_Prices!L191</f>
        <v>1.2131864568520719E-2</v>
      </c>
    </row>
    <row r="185" spans="1:6" x14ac:dyDescent="0.2">
      <c r="A185" s="72">
        <v>40277</v>
      </c>
      <c r="B185" s="73">
        <f>Historical_Prices!D192</f>
        <v>1.3698844358161927E-2</v>
      </c>
      <c r="C185" s="73">
        <f>Historical_Prices!F192</f>
        <v>3.488725900044054E-2</v>
      </c>
      <c r="D185" s="73">
        <f>Historical_Prices!H192</f>
        <v>4.0512996308168486E-2</v>
      </c>
      <c r="E185" s="73">
        <f>Historical_Prices!J192</f>
        <v>2.0927806731305776E-3</v>
      </c>
      <c r="F185" s="73">
        <f>Historical_Prices!L192</f>
        <v>-1.7001091992884354E-2</v>
      </c>
    </row>
    <row r="186" spans="1:6" x14ac:dyDescent="0.2">
      <c r="A186" s="72">
        <v>40284</v>
      </c>
      <c r="B186" s="73">
        <f>Historical_Prices!D193</f>
        <v>2.6847250036188056E-2</v>
      </c>
      <c r="C186" s="73">
        <f>Historical_Prices!F193</f>
        <v>8.5349024498372859E-3</v>
      </c>
      <c r="D186" s="73">
        <f>Historical_Prices!H193</f>
        <v>2.2007360673165537E-2</v>
      </c>
      <c r="E186" s="73">
        <f>Historical_Prices!J193</f>
        <v>-1.6511880500177465E-2</v>
      </c>
      <c r="F186" s="73">
        <f>Historical_Prices!L193</f>
        <v>-7.8333697441189953E-2</v>
      </c>
    </row>
    <row r="187" spans="1:6" x14ac:dyDescent="0.2">
      <c r="A187" s="72">
        <v>40291</v>
      </c>
      <c r="B187" s="73">
        <f>Historical_Prices!D194</f>
        <v>6.6006840313520927E-3</v>
      </c>
      <c r="C187" s="73">
        <f>Historical_Prices!F194</f>
        <v>-4.9356896970092497E-2</v>
      </c>
      <c r="D187" s="73">
        <f>Historical_Prices!H194</f>
        <v>-2.5941791978000145E-2</v>
      </c>
      <c r="E187" s="73">
        <f>Historical_Prices!J194</f>
        <v>-2.9477331950703532E-2</v>
      </c>
      <c r="F187" s="73">
        <f>Historical_Prices!L194</f>
        <v>-7.5900423497552438E-2</v>
      </c>
    </row>
    <row r="188" spans="1:6" x14ac:dyDescent="0.2">
      <c r="A188" s="72">
        <v>40298</v>
      </c>
      <c r="B188" s="73">
        <f>Historical_Prices!D195</f>
        <v>0</v>
      </c>
      <c r="C188" s="73">
        <f>Historical_Prices!F195</f>
        <v>3.2213619983655059E-2</v>
      </c>
      <c r="D188" s="73">
        <f>Historical_Prices!H195</f>
        <v>-3.9764005694620019E-2</v>
      </c>
      <c r="E188" s="73">
        <f>Historical_Prices!J195</f>
        <v>-2.2879226758177152E-2</v>
      </c>
      <c r="F188" s="73">
        <f>Historical_Prices!L195</f>
        <v>-4.5255239477577709E-2</v>
      </c>
    </row>
    <row r="189" spans="1:6" x14ac:dyDescent="0.2">
      <c r="A189" s="72">
        <v>40305</v>
      </c>
      <c r="B189" s="73">
        <f>Historical_Prices!D196</f>
        <v>0</v>
      </c>
      <c r="C189" s="73">
        <f>Historical_Prices!F196</f>
        <v>-5.9364609049605811E-2</v>
      </c>
      <c r="D189" s="73">
        <f>Historical_Prices!H196</f>
        <v>-2.8759668580139199E-2</v>
      </c>
      <c r="E189" s="73">
        <f>Historical_Prices!J196</f>
        <v>-1.8681118827201834E-3</v>
      </c>
      <c r="F189" s="73">
        <f>Historical_Prices!L196</f>
        <v>4.2037451122652017E-2</v>
      </c>
    </row>
    <row r="190" spans="1:6" x14ac:dyDescent="0.2">
      <c r="A190" s="72">
        <v>40312</v>
      </c>
      <c r="B190" s="73">
        <f>Historical_Prices!D197</f>
        <v>6.5574005461590396E-3</v>
      </c>
      <c r="C190" s="73">
        <f>Historical_Prices!F197</f>
        <v>-3.421795731034126E-2</v>
      </c>
      <c r="D190" s="73">
        <f>Historical_Prices!H197</f>
        <v>-2.1239065177835741E-2</v>
      </c>
      <c r="E190" s="73">
        <f>Historical_Prices!J197</f>
        <v>-8.2614063561353302E-3</v>
      </c>
      <c r="F190" s="73">
        <f>Historical_Prices!L197</f>
        <v>1.1796539622320348E-2</v>
      </c>
    </row>
    <row r="191" spans="1:6" x14ac:dyDescent="0.2">
      <c r="A191" s="72">
        <v>40319</v>
      </c>
      <c r="B191" s="73">
        <f>Historical_Prices!D198</f>
        <v>-1.3158084577511199E-2</v>
      </c>
      <c r="C191" s="73">
        <f>Historical_Prices!F198</f>
        <v>4.9392755329576266E-2</v>
      </c>
      <c r="D191" s="73">
        <f>Historical_Prices!H198</f>
        <v>-5.2125860378649816E-2</v>
      </c>
      <c r="E191" s="73">
        <f>Historical_Prices!J198</f>
        <v>1.6455120726444467E-2</v>
      </c>
      <c r="F191" s="73">
        <f>Historical_Prices!L198</f>
        <v>3.8346078341099113E-2</v>
      </c>
    </row>
    <row r="192" spans="1:6" x14ac:dyDescent="0.2">
      <c r="A192" s="72">
        <v>40326</v>
      </c>
      <c r="B192" s="73">
        <f>Historical_Prices!D199</f>
        <v>1.3158084577511201E-2</v>
      </c>
      <c r="C192" s="73">
        <f>Historical_Prices!F199</f>
        <v>-6.0423144559625863E-3</v>
      </c>
      <c r="D192" s="73">
        <f>Historical_Prices!H199</f>
        <v>9.045287801849166E-3</v>
      </c>
      <c r="E192" s="73">
        <f>Historical_Prices!J199</f>
        <v>5.9171770280885185E-3</v>
      </c>
      <c r="F192" s="73">
        <f>Historical_Prices!L199</f>
        <v>1.6444784324095428E-2</v>
      </c>
    </row>
    <row r="193" spans="1:6" x14ac:dyDescent="0.2">
      <c r="A193" s="72">
        <v>40333</v>
      </c>
      <c r="B193" s="73">
        <f>Historical_Prices!D200</f>
        <v>-1.9802627296179754E-2</v>
      </c>
      <c r="C193" s="73">
        <f>Historical_Prices!F200</f>
        <v>-2.4541108916117545E-2</v>
      </c>
      <c r="D193" s="73">
        <f>Historical_Prices!H200</f>
        <v>-9.5502108118191344E-3</v>
      </c>
      <c r="E193" s="73">
        <f>Historical_Prices!J200</f>
        <v>-1.3363227812167141E-2</v>
      </c>
      <c r="F193" s="73">
        <f>Historical_Prices!L200</f>
        <v>-7.1527127508632972E-3</v>
      </c>
    </row>
    <row r="194" spans="1:6" x14ac:dyDescent="0.2">
      <c r="A194" s="72">
        <v>40340</v>
      </c>
      <c r="B194" s="73">
        <f>Historical_Prices!D201</f>
        <v>-2.0202707317519466E-2</v>
      </c>
      <c r="C194" s="73">
        <f>Historical_Prices!F201</f>
        <v>6.8992871486951421E-2</v>
      </c>
      <c r="D194" s="73">
        <f>Historical_Prices!H201</f>
        <v>1.8216898519894865E-2</v>
      </c>
      <c r="E194" s="73">
        <f>Historical_Prices!J201</f>
        <v>-3.7439205094651753E-3</v>
      </c>
      <c r="F194" s="73">
        <f>Historical_Prices!L201</f>
        <v>-1.1942927677332833E-2</v>
      </c>
    </row>
    <row r="195" spans="1:6" x14ac:dyDescent="0.2">
      <c r="A195" s="72">
        <v>40347</v>
      </c>
      <c r="B195" s="73">
        <f>Historical_Prices!D202</f>
        <v>2.6847250036188056E-2</v>
      </c>
      <c r="C195" s="73">
        <f>Historical_Prices!F202</f>
        <v>8.6580627431145311E-3</v>
      </c>
      <c r="D195" s="73">
        <f>Historical_Prices!H202</f>
        <v>2.5268213419844178E-2</v>
      </c>
      <c r="E195" s="73">
        <f>Historical_Prices!J202</f>
        <v>2.2480339178823487E-3</v>
      </c>
      <c r="F195" s="73">
        <f>Historical_Prices!L202</f>
        <v>5.5865923240703348E-4</v>
      </c>
    </row>
    <row r="196" spans="1:6" x14ac:dyDescent="0.2">
      <c r="A196" s="72">
        <v>40354</v>
      </c>
      <c r="B196" s="73">
        <f>Historical_Prices!D203</f>
        <v>1.3158084577511201E-2</v>
      </c>
      <c r="C196" s="73">
        <f>Historical_Prices!F203</f>
        <v>-1.4472032608534319E-2</v>
      </c>
      <c r="D196" s="73">
        <f>Historical_Prices!H203</f>
        <v>1.4496257672642491E-3</v>
      </c>
      <c r="E196" s="73">
        <f>Historical_Prices!J203</f>
        <v>1.1535011619911139E-2</v>
      </c>
      <c r="F196" s="73">
        <f>Historical_Prices!L203</f>
        <v>5.4306336904887623E-3</v>
      </c>
    </row>
    <row r="197" spans="1:6" x14ac:dyDescent="0.2">
      <c r="A197" s="72">
        <v>40361</v>
      </c>
      <c r="B197" s="73">
        <f>Historical_Prices!D204</f>
        <v>0</v>
      </c>
      <c r="C197" s="73">
        <f>Historical_Prices!F204</f>
        <v>-3.5612071788877091E-2</v>
      </c>
      <c r="D197" s="73">
        <f>Historical_Prices!H204</f>
        <v>-1.6553445168778359E-2</v>
      </c>
      <c r="E197" s="73">
        <f>Historical_Prices!J204</f>
        <v>-5.9369376609564118E-3</v>
      </c>
      <c r="F197" s="73">
        <f>Historical_Prices!L204</f>
        <v>1.5707129205357877E-2</v>
      </c>
    </row>
    <row r="198" spans="1:6" x14ac:dyDescent="0.2">
      <c r="A198" s="72">
        <v>40368</v>
      </c>
      <c r="B198" s="73">
        <f>Historical_Prices!D205</f>
        <v>1.9418085857101516E-2</v>
      </c>
      <c r="C198" s="73">
        <f>Historical_Prices!F205</f>
        <v>6.7178537756711523E-2</v>
      </c>
      <c r="D198" s="73">
        <f>Historical_Prices!H205</f>
        <v>1.171316466365317E-2</v>
      </c>
      <c r="E198" s="73">
        <f>Historical_Prices!J205</f>
        <v>1.9532590766624874E-2</v>
      </c>
      <c r="F198" s="73">
        <f>Historical_Prices!L205</f>
        <v>4.8041259001173099E-2</v>
      </c>
    </row>
    <row r="199" spans="1:6" x14ac:dyDescent="0.2">
      <c r="A199" s="72">
        <v>40375</v>
      </c>
      <c r="B199" s="73">
        <f>Historical_Prices!D206</f>
        <v>5.6089466651043578E-2</v>
      </c>
      <c r="C199" s="73">
        <f>Historical_Prices!F206</f>
        <v>2.8208763416412634E-3</v>
      </c>
      <c r="D199" s="73">
        <f>Historical_Prices!H206</f>
        <v>2.8696373674223338E-2</v>
      </c>
      <c r="E199" s="73">
        <f>Historical_Prices!J206</f>
        <v>-1.6188727349918282E-2</v>
      </c>
      <c r="F199" s="73">
        <f>Historical_Prices!L206</f>
        <v>-1.1136702065722162E-2</v>
      </c>
    </row>
    <row r="200" spans="1:6" x14ac:dyDescent="0.2">
      <c r="A200" s="72">
        <v>40382</v>
      </c>
      <c r="B200" s="73">
        <f>Historical_Prices!D207</f>
        <v>2.9852963149681128E-2</v>
      </c>
      <c r="C200" s="73">
        <f>Historical_Prices!F207</f>
        <v>3.5965148693515303E-2</v>
      </c>
      <c r="D200" s="73">
        <f>Historical_Prices!H207</f>
        <v>0</v>
      </c>
      <c r="E200" s="73">
        <f>Historical_Prices!J207</f>
        <v>-1.6078117894458038E-2</v>
      </c>
      <c r="F200" s="73">
        <f>Historical_Prices!L207</f>
        <v>-4.88692186775566E-2</v>
      </c>
    </row>
    <row r="201" spans="1:6" x14ac:dyDescent="0.2">
      <c r="A201" s="72">
        <v>40389</v>
      </c>
      <c r="B201" s="73">
        <f>Historical_Prices!D208</f>
        <v>5.7158413839948623E-2</v>
      </c>
      <c r="C201" s="73">
        <f>Historical_Prices!F208</f>
        <v>-2.7210901143607247E-3</v>
      </c>
      <c r="D201" s="73">
        <f>Historical_Prices!H208</f>
        <v>1.1251876797434847E-2</v>
      </c>
      <c r="E201" s="73">
        <f>Historical_Prices!J208</f>
        <v>-4.9121579973777311E-3</v>
      </c>
      <c r="F201" s="73">
        <f>Historical_Prices!L208</f>
        <v>-4.0804700812570233E-2</v>
      </c>
    </row>
    <row r="202" spans="1:6" x14ac:dyDescent="0.2">
      <c r="A202" s="72">
        <v>40396</v>
      </c>
      <c r="B202" s="73">
        <f>Historical_Prices!D209</f>
        <v>3.8151765964376326E-2</v>
      </c>
      <c r="C202" s="73">
        <f>Historical_Prices!F209</f>
        <v>4.2673141126075696E-2</v>
      </c>
      <c r="D202" s="73">
        <f>Historical_Prices!H209</f>
        <v>1.3429236319037459E-2</v>
      </c>
      <c r="E202" s="73">
        <f>Historical_Prices!J209</f>
        <v>2.6480060867392304E-3</v>
      </c>
      <c r="F202" s="73">
        <f>Historical_Prices!L209</f>
        <v>2.3218762603484176E-2</v>
      </c>
    </row>
    <row r="203" spans="1:6" x14ac:dyDescent="0.2">
      <c r="A203" s="72">
        <v>40403</v>
      </c>
      <c r="B203" s="73">
        <f>Historical_Prices!D210</f>
        <v>5.3333459753623818E-3</v>
      </c>
      <c r="C203" s="73">
        <f>Historical_Prices!F210</f>
        <v>5.5852077925893001E-2</v>
      </c>
      <c r="D203" s="73">
        <f>Historical_Prices!H210</f>
        <v>6.3963378773985752E-2</v>
      </c>
      <c r="E203" s="73">
        <f>Historical_Prices!J210</f>
        <v>1.7971281115996201E-2</v>
      </c>
      <c r="F203" s="73">
        <f>Historical_Prices!L210</f>
        <v>9.8081212219903961E-3</v>
      </c>
    </row>
    <row r="204" spans="1:6" x14ac:dyDescent="0.2">
      <c r="A204" s="72">
        <v>40410</v>
      </c>
      <c r="B204" s="73">
        <f>Historical_Prices!D211</f>
        <v>4.6761765908039286E-2</v>
      </c>
      <c r="C204" s="73">
        <f>Historical_Prices!F211</f>
        <v>7.3755176242495252E-2</v>
      </c>
      <c r="D204" s="73">
        <f>Historical_Prices!H211</f>
        <v>5.1055951760779712E-2</v>
      </c>
      <c r="E204" s="73">
        <f>Historical_Prices!J211</f>
        <v>2.9640629333501727E-3</v>
      </c>
      <c r="F204" s="73">
        <f>Historical_Prices!L211</f>
        <v>1.7278749040596619E-2</v>
      </c>
    </row>
    <row r="205" spans="1:6" x14ac:dyDescent="0.2">
      <c r="A205" s="72">
        <v>40417</v>
      </c>
      <c r="B205" s="73">
        <f>Historical_Prices!D212</f>
        <v>0.30673026742247544</v>
      </c>
      <c r="C205" s="73">
        <f>Historical_Prices!F212</f>
        <v>0.24438526669845656</v>
      </c>
      <c r="D205" s="73">
        <f>Historical_Prices!H212</f>
        <v>0.2357757042462694</v>
      </c>
      <c r="E205" s="73">
        <f>Historical_Prices!J212</f>
        <v>-2.6628792346601562E-2</v>
      </c>
      <c r="F205" s="73">
        <f>Historical_Prices!L212</f>
        <v>-7.6325412571879914E-2</v>
      </c>
    </row>
    <row r="206" spans="1:6" x14ac:dyDescent="0.2">
      <c r="A206" s="72">
        <v>40424</v>
      </c>
      <c r="B206" s="73">
        <f>Historical_Prices!D213</f>
        <v>0.260030541121271</v>
      </c>
      <c r="C206" s="73">
        <f>Historical_Prices!F213</f>
        <v>0.25475139463876922</v>
      </c>
      <c r="D206" s="73">
        <f>Historical_Prices!H213</f>
        <v>0.22681431641300684</v>
      </c>
      <c r="E206" s="73">
        <f>Historical_Prices!J213</f>
        <v>3.332719248384151E-3</v>
      </c>
      <c r="F206" s="73">
        <f>Historical_Prices!L213</f>
        <v>-4.458951310483502E-2</v>
      </c>
    </row>
    <row r="207" spans="1:6" x14ac:dyDescent="0.2">
      <c r="A207" s="72">
        <v>40431</v>
      </c>
      <c r="B207" s="73">
        <f>Historical_Prices!D214</f>
        <v>0.15750638767423067</v>
      </c>
      <c r="C207" s="73">
        <f>Historical_Prices!F214</f>
        <v>0.18322694390876712</v>
      </c>
      <c r="D207" s="73">
        <f>Historical_Prices!H214</f>
        <v>0.21547632647561035</v>
      </c>
      <c r="E207" s="73">
        <f>Historical_Prices!J214</f>
        <v>5.1425211807437185E-2</v>
      </c>
      <c r="F207" s="73">
        <f>Historical_Prices!L214</f>
        <v>6.6369991836285835E-2</v>
      </c>
    </row>
    <row r="208" spans="1:6" x14ac:dyDescent="0.2">
      <c r="A208" s="72">
        <v>40438</v>
      </c>
      <c r="B208" s="73">
        <f>Historical_Prices!D215</f>
        <v>0.10536051565782635</v>
      </c>
      <c r="C208" s="73">
        <f>Historical_Prices!F215</f>
        <v>0.32904887766380109</v>
      </c>
      <c r="D208" s="73">
        <f>Historical_Prices!H215</f>
        <v>0.24540213919828183</v>
      </c>
      <c r="E208" s="73">
        <f>Historical_Prices!J215</f>
        <v>5.7053189448837582E-2</v>
      </c>
      <c r="F208" s="73">
        <f>Historical_Prices!L215</f>
        <v>0.10859781210761758</v>
      </c>
    </row>
    <row r="209" spans="1:6" x14ac:dyDescent="0.2">
      <c r="A209" s="72">
        <v>40445</v>
      </c>
      <c r="B209" s="73">
        <f>Historical_Prices!D216</f>
        <v>0.16705408466316607</v>
      </c>
      <c r="C209" s="73">
        <f>Historical_Prices!F216</f>
        <v>0.2922408559901235</v>
      </c>
      <c r="D209" s="73">
        <f>Historical_Prices!H216</f>
        <v>0.32104299963550836</v>
      </c>
      <c r="E209" s="73">
        <f>Historical_Prices!J216</f>
        <v>4.6142158082692522E-2</v>
      </c>
      <c r="F209" s="73">
        <f>Historical_Prices!L216</f>
        <v>6.5004830308995995E-2</v>
      </c>
    </row>
    <row r="210" spans="1:6" x14ac:dyDescent="0.2">
      <c r="A210" s="72">
        <v>40452</v>
      </c>
      <c r="B210" s="73">
        <f>Historical_Prices!D217</f>
        <v>0.19290366612449145</v>
      </c>
      <c r="C210" s="73">
        <f>Historical_Prices!F217</f>
        <v>0.26141414563117066</v>
      </c>
      <c r="D210" s="73">
        <f>Historical_Prices!H217</f>
        <v>0.26571754832431754</v>
      </c>
      <c r="E210" s="73">
        <f>Historical_Prices!J217</f>
        <v>2.3832475368098242E-2</v>
      </c>
      <c r="F210" s="73">
        <f>Historical_Prices!L217</f>
        <v>6.0723038941093932E-2</v>
      </c>
    </row>
  </sheetData>
  <phoneticPr fontId="18"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FF00"/>
  </sheetPr>
  <dimension ref="A1:T244"/>
  <sheetViews>
    <sheetView topLeftCell="A183" zoomScale="80" zoomScaleNormal="80" workbookViewId="0">
      <selection activeCell="I220" sqref="I220"/>
    </sheetView>
  </sheetViews>
  <sheetFormatPr defaultRowHeight="12.75" x14ac:dyDescent="0.2"/>
  <cols>
    <col min="1" max="1" width="21.85546875" customWidth="1"/>
    <col min="2" max="2" width="12.85546875" customWidth="1"/>
    <col min="3" max="3" width="10.42578125" customWidth="1"/>
    <col min="5" max="5" width="14" customWidth="1"/>
    <col min="6" max="6" width="11.85546875" customWidth="1"/>
    <col min="7" max="7" width="14.140625" customWidth="1"/>
    <col min="8" max="8" width="11.28515625" customWidth="1"/>
    <col min="9" max="9" width="15" customWidth="1"/>
    <col min="10" max="10" width="15.42578125" customWidth="1"/>
    <col min="11" max="11" width="15" customWidth="1"/>
    <col min="12" max="12" width="15.42578125" customWidth="1"/>
    <col min="15" max="15" width="15" customWidth="1"/>
    <col min="16" max="16" width="21.42578125" customWidth="1"/>
  </cols>
  <sheetData>
    <row r="1" spans="1:20" ht="16.5" thickTop="1" thickBot="1" x14ac:dyDescent="0.3">
      <c r="A1" s="7" t="s">
        <v>13</v>
      </c>
      <c r="B1" s="7"/>
      <c r="C1" s="7"/>
      <c r="D1" s="7"/>
      <c r="E1" s="7"/>
      <c r="F1" s="7"/>
      <c r="G1" s="7"/>
      <c r="H1" s="7"/>
      <c r="I1" s="7"/>
      <c r="J1" s="7"/>
      <c r="K1" s="7"/>
      <c r="L1" s="7"/>
    </row>
    <row r="2" spans="1:20" ht="16.5" thickTop="1" thickBot="1" x14ac:dyDescent="0.3">
      <c r="A2" s="7" t="s">
        <v>14</v>
      </c>
      <c r="B2" s="7"/>
      <c r="C2" s="7"/>
      <c r="D2" s="7"/>
      <c r="E2" s="7"/>
      <c r="F2" s="7"/>
      <c r="G2" s="7"/>
      <c r="H2" s="7"/>
      <c r="I2" s="7"/>
      <c r="J2" s="7"/>
      <c r="K2" s="7"/>
      <c r="L2" s="7"/>
    </row>
    <row r="3" spans="1:20" ht="15.75" thickTop="1" x14ac:dyDescent="0.25">
      <c r="A3" s="12" t="s">
        <v>15</v>
      </c>
      <c r="B3" s="13" t="s">
        <v>16</v>
      </c>
      <c r="C3" s="8" t="s">
        <v>17</v>
      </c>
      <c r="D3" s="8"/>
      <c r="E3" s="13" t="s">
        <v>18</v>
      </c>
      <c r="F3" s="12"/>
      <c r="G3" s="14" t="s">
        <v>19</v>
      </c>
      <c r="H3" s="12"/>
      <c r="I3" s="14" t="s">
        <v>20</v>
      </c>
      <c r="J3" s="15"/>
      <c r="K3" s="14" t="s">
        <v>21</v>
      </c>
      <c r="L3" s="15"/>
      <c r="O3" s="13" t="s">
        <v>113</v>
      </c>
      <c r="P3" s="12"/>
      <c r="Q3" s="16"/>
      <c r="R3" s="16"/>
      <c r="S3" s="16"/>
      <c r="T3" s="16"/>
    </row>
    <row r="4" spans="1:20" ht="12.75" customHeight="1" thickBot="1" x14ac:dyDescent="0.3">
      <c r="A4" s="17" t="s">
        <v>15</v>
      </c>
      <c r="B4" s="18" t="s">
        <v>16</v>
      </c>
      <c r="C4" s="19" t="s">
        <v>22</v>
      </c>
      <c r="D4" s="19" t="s">
        <v>23</v>
      </c>
      <c r="E4" s="19" t="s">
        <v>22</v>
      </c>
      <c r="F4" s="17" t="s">
        <v>23</v>
      </c>
      <c r="G4" s="18" t="s">
        <v>22</v>
      </c>
      <c r="H4" s="17" t="s">
        <v>23</v>
      </c>
      <c r="I4" s="18"/>
      <c r="J4" s="20" t="s">
        <v>23</v>
      </c>
      <c r="K4" s="18"/>
      <c r="L4" s="20" t="s">
        <v>23</v>
      </c>
      <c r="O4" s="19" t="s">
        <v>112</v>
      </c>
      <c r="P4" s="17" t="s">
        <v>114</v>
      </c>
    </row>
    <row r="5" spans="1:20" ht="12.75" customHeight="1" x14ac:dyDescent="0.25">
      <c r="A5" s="21">
        <f>B5</f>
        <v>38996</v>
      </c>
      <c r="B5" s="22">
        <v>38996</v>
      </c>
      <c r="C5" s="23"/>
      <c r="D5" s="4"/>
      <c r="E5" s="24">
        <v>2.33</v>
      </c>
      <c r="F5" s="25"/>
      <c r="G5" s="26">
        <v>71.63</v>
      </c>
      <c r="H5" s="4"/>
      <c r="I5" s="26">
        <v>2.222</v>
      </c>
      <c r="J5" s="27"/>
      <c r="K5" s="5">
        <v>52.75</v>
      </c>
      <c r="L5" s="27"/>
      <c r="O5" s="210">
        <f>E5</f>
        <v>2.33</v>
      </c>
    </row>
    <row r="6" spans="1:20" ht="12.75" customHeight="1" x14ac:dyDescent="0.2">
      <c r="A6" s="21">
        <f t="shared" ref="A6:A69" si="0">B6</f>
        <v>39003</v>
      </c>
      <c r="B6" s="22">
        <v>39003</v>
      </c>
      <c r="C6" s="23"/>
      <c r="D6" s="4"/>
      <c r="E6" s="24">
        <v>2.5</v>
      </c>
      <c r="F6" s="28">
        <f>LN(E6/E5)</f>
        <v>7.0422464296545792E-2</v>
      </c>
      <c r="G6" s="26">
        <v>74.7</v>
      </c>
      <c r="H6" s="28">
        <f>LN(G6/G5)</f>
        <v>4.196611151241178E-2</v>
      </c>
      <c r="I6" s="26">
        <v>2.1949999999999998</v>
      </c>
      <c r="J6" s="29">
        <f>LN(I6/I5)</f>
        <v>-1.2225644690303612E-2</v>
      </c>
      <c r="K6" s="5">
        <v>51.78</v>
      </c>
      <c r="L6" s="29">
        <f>LN(K6/K5)</f>
        <v>-1.8559798032784288E-2</v>
      </c>
      <c r="O6" s="3">
        <f>E57</f>
        <v>3.12</v>
      </c>
      <c r="P6" s="122">
        <f>(O6-O5)/O5</f>
        <v>0.33905579399141633</v>
      </c>
    </row>
    <row r="7" spans="1:20" ht="12.75" customHeight="1" x14ac:dyDescent="0.2">
      <c r="A7" s="21">
        <f t="shared" si="0"/>
        <v>39010</v>
      </c>
      <c r="B7" s="22">
        <v>39010</v>
      </c>
      <c r="C7" s="23"/>
      <c r="D7" s="4"/>
      <c r="E7" s="24">
        <v>2.78</v>
      </c>
      <c r="F7" s="28">
        <f t="shared" ref="F7:F70" si="1">LN(E7/E6)</f>
        <v>0.10616019582839052</v>
      </c>
      <c r="G7" s="26">
        <v>82.55</v>
      </c>
      <c r="H7" s="28">
        <f t="shared" ref="H7:H70" si="2">LN(G7/G6)</f>
        <v>9.9924078227365376E-2</v>
      </c>
      <c r="I7" s="26">
        <v>2.1859999999999999</v>
      </c>
      <c r="J7" s="29">
        <f t="shared" ref="J7:J70" si="3">LN(I7/I6)</f>
        <v>-4.1086567727877839E-3</v>
      </c>
      <c r="K7" s="5">
        <v>51.87</v>
      </c>
      <c r="L7" s="29">
        <f t="shared" ref="L7:L70" si="4">LN(K7/K6)</f>
        <v>1.736614039917092E-3</v>
      </c>
      <c r="O7" s="3">
        <f>E109</f>
        <v>4.67</v>
      </c>
      <c r="P7" s="122">
        <f t="shared" ref="P7:P9" si="5">(O7-O6)/O6</f>
        <v>0.4967948717948717</v>
      </c>
    </row>
    <row r="8" spans="1:20" ht="12.75" customHeight="1" x14ac:dyDescent="0.2">
      <c r="A8" s="21">
        <f t="shared" si="0"/>
        <v>39017</v>
      </c>
      <c r="B8" s="22">
        <v>39017</v>
      </c>
      <c r="C8" s="30">
        <v>1.9</v>
      </c>
      <c r="D8" s="25"/>
      <c r="E8" s="24">
        <v>2.88</v>
      </c>
      <c r="F8" s="28">
        <f t="shared" si="1"/>
        <v>3.5339366445308863E-2</v>
      </c>
      <c r="G8" s="26">
        <v>85.7</v>
      </c>
      <c r="H8" s="28">
        <f t="shared" si="2"/>
        <v>3.7448655237597224E-2</v>
      </c>
      <c r="I8" s="26">
        <v>2.2040000000000002</v>
      </c>
      <c r="J8" s="29">
        <f t="shared" si="3"/>
        <v>8.2005015363214064E-3</v>
      </c>
      <c r="K8" s="5">
        <v>51.61</v>
      </c>
      <c r="L8" s="29">
        <f t="shared" si="4"/>
        <v>-5.0251362026730428E-3</v>
      </c>
      <c r="O8" s="3">
        <f>E161</f>
        <v>3.3</v>
      </c>
      <c r="P8" s="122">
        <f t="shared" si="5"/>
        <v>-0.2933618843683084</v>
      </c>
    </row>
    <row r="9" spans="1:20" ht="12.75" customHeight="1" x14ac:dyDescent="0.2">
      <c r="A9" s="21">
        <f t="shared" si="0"/>
        <v>39024</v>
      </c>
      <c r="B9" s="22">
        <v>39024</v>
      </c>
      <c r="C9" s="30">
        <v>1.93</v>
      </c>
      <c r="D9" s="28">
        <f>LN(C9/C8)</f>
        <v>1.5666116744399456E-2</v>
      </c>
      <c r="E9" s="24">
        <v>3.05</v>
      </c>
      <c r="F9" s="28">
        <f t="shared" si="1"/>
        <v>5.7351296471465599E-2</v>
      </c>
      <c r="G9" s="26">
        <v>91.4</v>
      </c>
      <c r="H9" s="28">
        <f t="shared" si="2"/>
        <v>6.4392652856370206E-2</v>
      </c>
      <c r="I9" s="26">
        <v>2.1890000000000001</v>
      </c>
      <c r="J9" s="29">
        <f t="shared" si="3"/>
        <v>-6.8290727499422301E-3</v>
      </c>
      <c r="K9" s="5">
        <v>50.65</v>
      </c>
      <c r="L9" s="29">
        <f t="shared" si="4"/>
        <v>-1.8776221465943359E-2</v>
      </c>
      <c r="O9" s="3">
        <f>E213</f>
        <v>4.58</v>
      </c>
      <c r="P9" s="122">
        <f t="shared" si="5"/>
        <v>0.38787878787878799</v>
      </c>
    </row>
    <row r="10" spans="1:20" ht="12.75" customHeight="1" x14ac:dyDescent="0.2">
      <c r="A10" s="21">
        <f t="shared" si="0"/>
        <v>39031</v>
      </c>
      <c r="B10" s="22">
        <v>39031</v>
      </c>
      <c r="C10" s="30">
        <v>2.02</v>
      </c>
      <c r="D10" s="28">
        <f t="shared" ref="D10:D73" si="6">LN(C10/C9)</f>
        <v>4.5577508496319155E-2</v>
      </c>
      <c r="E10" s="24">
        <v>3.22</v>
      </c>
      <c r="F10" s="28">
        <f t="shared" si="1"/>
        <v>5.423976893699687E-2</v>
      </c>
      <c r="G10" s="26">
        <v>99.05</v>
      </c>
      <c r="H10" s="28">
        <f t="shared" si="2"/>
        <v>8.0379294684455468E-2</v>
      </c>
      <c r="I10" s="26">
        <v>2.2160000000000002</v>
      </c>
      <c r="J10" s="29">
        <f t="shared" si="3"/>
        <v>1.2258950344311612E-2</v>
      </c>
      <c r="K10" s="5">
        <v>51.71</v>
      </c>
      <c r="L10" s="29">
        <f t="shared" si="4"/>
        <v>2.0711955713437796E-2</v>
      </c>
      <c r="O10" s="6"/>
    </row>
    <row r="11" spans="1:20" ht="12.75" customHeight="1" x14ac:dyDescent="0.2">
      <c r="A11" s="21">
        <f t="shared" si="0"/>
        <v>39038</v>
      </c>
      <c r="B11" s="22">
        <v>39038</v>
      </c>
      <c r="C11" s="30">
        <v>2.06</v>
      </c>
      <c r="D11" s="28">
        <f t="shared" si="6"/>
        <v>1.9608471388376337E-2</v>
      </c>
      <c r="E11" s="24">
        <v>3.25</v>
      </c>
      <c r="F11" s="28">
        <f t="shared" si="1"/>
        <v>9.2736367853290327E-3</v>
      </c>
      <c r="G11" s="26">
        <v>107</v>
      </c>
      <c r="H11" s="28">
        <f t="shared" si="2"/>
        <v>7.7204061317346265E-2</v>
      </c>
      <c r="I11" s="26">
        <v>2.218</v>
      </c>
      <c r="J11" s="29">
        <f t="shared" si="3"/>
        <v>9.0212004313770713E-4</v>
      </c>
      <c r="K11" s="5">
        <v>51.5</v>
      </c>
      <c r="L11" s="29">
        <f t="shared" si="4"/>
        <v>-4.0693787384396369E-3</v>
      </c>
      <c r="O11" s="123" t="s">
        <v>115</v>
      </c>
      <c r="P11" s="1">
        <f>AVERAGE(P6:P9)</f>
        <v>0.23259189232419192</v>
      </c>
    </row>
    <row r="12" spans="1:20" ht="12.75" customHeight="1" x14ac:dyDescent="0.2">
      <c r="A12" s="21">
        <f t="shared" si="0"/>
        <v>39045</v>
      </c>
      <c r="B12" s="22">
        <v>39045</v>
      </c>
      <c r="C12" s="30">
        <v>2.1</v>
      </c>
      <c r="D12" s="28">
        <f t="shared" si="6"/>
        <v>1.9231361927887592E-2</v>
      </c>
      <c r="E12" s="24">
        <v>3.34</v>
      </c>
      <c r="F12" s="28">
        <f t="shared" si="1"/>
        <v>2.7315810646962924E-2</v>
      </c>
      <c r="G12" s="26">
        <v>113.75</v>
      </c>
      <c r="H12" s="28">
        <f t="shared" si="2"/>
        <v>6.1174223369153603E-2</v>
      </c>
      <c r="I12" s="26">
        <v>2.2210000000000001</v>
      </c>
      <c r="J12" s="29">
        <f t="shared" si="3"/>
        <v>1.3516559841152537E-3</v>
      </c>
      <c r="K12" s="5">
        <v>50.42</v>
      </c>
      <c r="L12" s="29">
        <f t="shared" si="4"/>
        <v>-2.1193885909916645E-2</v>
      </c>
      <c r="O12" s="211" t="s">
        <v>116</v>
      </c>
      <c r="P12" s="122">
        <f>STDEV(P6:P9)</f>
        <v>0.35678152599197238</v>
      </c>
    </row>
    <row r="13" spans="1:20" ht="12.75" customHeight="1" x14ac:dyDescent="0.2">
      <c r="A13" s="21">
        <f t="shared" si="0"/>
        <v>39052</v>
      </c>
      <c r="B13" s="22">
        <v>39052</v>
      </c>
      <c r="C13" s="30">
        <v>2.1</v>
      </c>
      <c r="D13" s="28">
        <f t="shared" si="6"/>
        <v>0</v>
      </c>
      <c r="E13" s="24">
        <v>3.48</v>
      </c>
      <c r="F13" s="28">
        <f t="shared" si="1"/>
        <v>4.1061486797773918E-2</v>
      </c>
      <c r="G13" s="26">
        <v>118.25</v>
      </c>
      <c r="H13" s="28">
        <f t="shared" si="2"/>
        <v>3.8797969540982628E-2</v>
      </c>
      <c r="I13" s="26">
        <v>2.2770000000000001</v>
      </c>
      <c r="J13" s="29">
        <f t="shared" si="3"/>
        <v>2.4901242169312127E-2</v>
      </c>
      <c r="K13" s="5">
        <v>53.54</v>
      </c>
      <c r="L13" s="29">
        <f t="shared" si="4"/>
        <v>6.0041116332432698E-2</v>
      </c>
    </row>
    <row r="14" spans="1:20" ht="12.75" customHeight="1" x14ac:dyDescent="0.2">
      <c r="A14" s="21">
        <f t="shared" si="0"/>
        <v>39059</v>
      </c>
      <c r="B14" s="22">
        <v>39059</v>
      </c>
      <c r="C14" s="30">
        <v>2.14</v>
      </c>
      <c r="D14" s="28">
        <f t="shared" si="6"/>
        <v>1.8868484304382736E-2</v>
      </c>
      <c r="E14" s="24">
        <v>3.42</v>
      </c>
      <c r="F14" s="28">
        <f t="shared" si="1"/>
        <v>-1.7391742711869222E-2</v>
      </c>
      <c r="G14" s="26">
        <v>125.75</v>
      </c>
      <c r="H14" s="28">
        <f t="shared" si="2"/>
        <v>6.149478160780629E-2</v>
      </c>
      <c r="I14" s="26">
        <v>2.2669999999999999</v>
      </c>
      <c r="J14" s="29">
        <f t="shared" si="3"/>
        <v>-4.4014155562107343E-3</v>
      </c>
      <c r="K14" s="5">
        <v>55.55</v>
      </c>
      <c r="L14" s="29">
        <f t="shared" si="4"/>
        <v>3.685447799343259E-2</v>
      </c>
    </row>
    <row r="15" spans="1:20" ht="12.75" customHeight="1" x14ac:dyDescent="0.2">
      <c r="A15" s="21">
        <f t="shared" si="0"/>
        <v>39066</v>
      </c>
      <c r="B15" s="22">
        <v>39066</v>
      </c>
      <c r="C15" s="30">
        <v>2.2200000000000002</v>
      </c>
      <c r="D15" s="28">
        <f t="shared" si="6"/>
        <v>3.6701366850427963E-2</v>
      </c>
      <c r="E15" s="24">
        <v>3.38</v>
      </c>
      <c r="F15" s="28">
        <f t="shared" si="1"/>
        <v>-1.176484157958637E-2</v>
      </c>
      <c r="G15" s="26">
        <v>126.85</v>
      </c>
      <c r="H15" s="28">
        <f t="shared" si="2"/>
        <v>8.7094770654422282E-3</v>
      </c>
      <c r="I15" s="26">
        <v>2.29</v>
      </c>
      <c r="J15" s="29">
        <f t="shared" si="3"/>
        <v>1.0094446040756365E-2</v>
      </c>
      <c r="K15" s="5">
        <v>54.79</v>
      </c>
      <c r="L15" s="29">
        <f t="shared" si="4"/>
        <v>-1.3775820535314605E-2</v>
      </c>
    </row>
    <row r="16" spans="1:20" ht="12.75" customHeight="1" x14ac:dyDescent="0.2">
      <c r="A16" s="21">
        <f t="shared" si="0"/>
        <v>39073</v>
      </c>
      <c r="B16" s="22">
        <v>39073</v>
      </c>
      <c r="C16" s="30">
        <v>2.27</v>
      </c>
      <c r="D16" s="28">
        <f t="shared" si="6"/>
        <v>2.2272635609123223E-2</v>
      </c>
      <c r="E16" s="24">
        <v>3.39</v>
      </c>
      <c r="F16" s="28">
        <f t="shared" si="1"/>
        <v>2.9542118974316043E-3</v>
      </c>
      <c r="G16" s="26">
        <v>126.5</v>
      </c>
      <c r="H16" s="28">
        <f t="shared" si="2"/>
        <v>-2.7629778777159375E-3</v>
      </c>
      <c r="I16" s="26">
        <v>2.3029999999999999</v>
      </c>
      <c r="J16" s="29">
        <f t="shared" si="3"/>
        <v>5.6608032723998664E-3</v>
      </c>
      <c r="K16" s="5">
        <v>55.09</v>
      </c>
      <c r="L16" s="29">
        <f t="shared" si="4"/>
        <v>5.4605159343007791E-3</v>
      </c>
    </row>
    <row r="17" spans="1:12" ht="12.75" customHeight="1" x14ac:dyDescent="0.25">
      <c r="A17" s="31">
        <f t="shared" si="0"/>
        <v>39080</v>
      </c>
      <c r="B17" s="32">
        <v>39080</v>
      </c>
      <c r="C17" s="33">
        <v>2.33</v>
      </c>
      <c r="D17" s="28">
        <f t="shared" si="6"/>
        <v>2.6088436084297874E-2</v>
      </c>
      <c r="E17" s="34">
        <v>3.53</v>
      </c>
      <c r="F17" s="28">
        <f t="shared" si="1"/>
        <v>4.0467949552846424E-2</v>
      </c>
      <c r="G17" s="35">
        <v>126</v>
      </c>
      <c r="H17" s="28">
        <f t="shared" si="2"/>
        <v>-3.9604012160969048E-3</v>
      </c>
      <c r="I17" s="26">
        <v>2.2959999999999998</v>
      </c>
      <c r="J17" s="29">
        <f t="shared" si="3"/>
        <v>-3.044142381228244E-3</v>
      </c>
      <c r="K17" s="5">
        <v>54</v>
      </c>
      <c r="L17" s="29">
        <f t="shared" si="4"/>
        <v>-1.9984164920350794E-2</v>
      </c>
    </row>
    <row r="18" spans="1:12" ht="12.75" customHeight="1" x14ac:dyDescent="0.2">
      <c r="A18" s="21">
        <f t="shared" si="0"/>
        <v>39087</v>
      </c>
      <c r="B18" s="22">
        <v>39087</v>
      </c>
      <c r="C18" s="30">
        <v>2.34</v>
      </c>
      <c r="D18" s="28">
        <f t="shared" si="6"/>
        <v>4.2826617920007281E-3</v>
      </c>
      <c r="E18" s="24">
        <v>3.44</v>
      </c>
      <c r="F18" s="28">
        <f t="shared" si="1"/>
        <v>-2.5826399559898423E-2</v>
      </c>
      <c r="G18" s="26">
        <v>126.69</v>
      </c>
      <c r="H18" s="28">
        <f t="shared" si="2"/>
        <v>5.4612506624838368E-3</v>
      </c>
      <c r="I18" s="26">
        <v>2.258</v>
      </c>
      <c r="J18" s="29">
        <f t="shared" si="3"/>
        <v>-1.6689012729849628E-2</v>
      </c>
      <c r="K18" s="5">
        <v>51.57</v>
      </c>
      <c r="L18" s="29">
        <f t="shared" si="4"/>
        <v>-4.6043938501406846E-2</v>
      </c>
    </row>
    <row r="19" spans="1:12" ht="12.75" customHeight="1" x14ac:dyDescent="0.2">
      <c r="A19" s="21">
        <f t="shared" si="0"/>
        <v>39094</v>
      </c>
      <c r="B19" s="22">
        <v>39094</v>
      </c>
      <c r="C19" s="30">
        <v>2.31</v>
      </c>
      <c r="D19" s="28">
        <f t="shared" si="6"/>
        <v>-1.2903404835907841E-2</v>
      </c>
      <c r="E19" s="24">
        <v>3.31</v>
      </c>
      <c r="F19" s="28">
        <f t="shared" si="1"/>
        <v>-3.8523281996335403E-2</v>
      </c>
      <c r="G19" s="26">
        <v>124.05</v>
      </c>
      <c r="H19" s="28">
        <f t="shared" si="2"/>
        <v>-2.1058447476151935E-2</v>
      </c>
      <c r="I19" s="26">
        <v>2.173</v>
      </c>
      <c r="J19" s="29">
        <f t="shared" si="3"/>
        <v>-3.8370764453177685E-2</v>
      </c>
      <c r="K19" s="5">
        <v>47.72</v>
      </c>
      <c r="L19" s="29">
        <f t="shared" si="4"/>
        <v>-7.75895108331522E-2</v>
      </c>
    </row>
    <row r="20" spans="1:12" ht="12.75" customHeight="1" x14ac:dyDescent="0.2">
      <c r="A20" s="21">
        <f t="shared" si="0"/>
        <v>39101</v>
      </c>
      <c r="B20" s="22">
        <v>39101</v>
      </c>
      <c r="C20" s="30">
        <v>2.17</v>
      </c>
      <c r="D20" s="28">
        <f t="shared" si="6"/>
        <v>-6.2520356981334055E-2</v>
      </c>
      <c r="E20" s="24">
        <v>3.66</v>
      </c>
      <c r="F20" s="28">
        <f t="shared" si="1"/>
        <v>0.10051495802430345</v>
      </c>
      <c r="G20" s="26">
        <v>127.56</v>
      </c>
      <c r="H20" s="28">
        <f t="shared" si="2"/>
        <v>2.790213200404695E-2</v>
      </c>
      <c r="I20" s="26">
        <v>2.1070000000000002</v>
      </c>
      <c r="J20" s="29">
        <f t="shared" si="3"/>
        <v>-3.0843566452240522E-2</v>
      </c>
      <c r="K20" s="5">
        <v>45.29</v>
      </c>
      <c r="L20" s="29">
        <f t="shared" si="4"/>
        <v>-5.2264339661592829E-2</v>
      </c>
    </row>
    <row r="21" spans="1:12" ht="12.75" customHeight="1" x14ac:dyDescent="0.2">
      <c r="A21" s="21">
        <f t="shared" si="0"/>
        <v>39108</v>
      </c>
      <c r="B21" s="22">
        <v>39108</v>
      </c>
      <c r="C21" s="30">
        <v>2</v>
      </c>
      <c r="D21" s="28">
        <f t="shared" si="6"/>
        <v>-8.1579986992422873E-2</v>
      </c>
      <c r="E21" s="24">
        <v>3.68</v>
      </c>
      <c r="F21" s="28">
        <f t="shared" si="1"/>
        <v>5.4496047675646848E-3</v>
      </c>
      <c r="G21" s="26">
        <v>132.94999999999999</v>
      </c>
      <c r="H21" s="28">
        <f t="shared" si="2"/>
        <v>4.138627554717178E-2</v>
      </c>
      <c r="I21" s="26">
        <v>2.1190000000000002</v>
      </c>
      <c r="J21" s="29">
        <f t="shared" si="3"/>
        <v>5.6791444641100738E-3</v>
      </c>
      <c r="K21" s="5">
        <v>46.94</v>
      </c>
      <c r="L21" s="29">
        <f t="shared" si="4"/>
        <v>3.5783932854754986E-2</v>
      </c>
    </row>
    <row r="22" spans="1:12" ht="12.75" customHeight="1" x14ac:dyDescent="0.2">
      <c r="A22" s="21">
        <f t="shared" si="0"/>
        <v>39115</v>
      </c>
      <c r="B22" s="22">
        <v>39115</v>
      </c>
      <c r="C22" s="30">
        <v>1.8</v>
      </c>
      <c r="D22" s="28">
        <f t="shared" si="6"/>
        <v>-0.10536051565782628</v>
      </c>
      <c r="E22" s="24">
        <v>3.68</v>
      </c>
      <c r="F22" s="28">
        <f t="shared" si="1"/>
        <v>0</v>
      </c>
      <c r="G22" s="26">
        <v>128.5</v>
      </c>
      <c r="H22" s="28">
        <f t="shared" si="2"/>
        <v>-3.4044213353754293E-2</v>
      </c>
      <c r="I22" s="26">
        <v>2.1509999999999998</v>
      </c>
      <c r="J22" s="29">
        <f t="shared" si="3"/>
        <v>1.4988570999430725E-2</v>
      </c>
      <c r="K22" s="5">
        <v>49.35</v>
      </c>
      <c r="L22" s="29">
        <f t="shared" si="4"/>
        <v>5.0067575456613278E-2</v>
      </c>
    </row>
    <row r="23" spans="1:12" ht="12.75" customHeight="1" x14ac:dyDescent="0.2">
      <c r="A23" s="21">
        <f t="shared" si="0"/>
        <v>39122</v>
      </c>
      <c r="B23" s="22">
        <v>39122</v>
      </c>
      <c r="C23" s="30">
        <v>1.81</v>
      </c>
      <c r="D23" s="28">
        <f t="shared" si="6"/>
        <v>5.5401803756153509E-3</v>
      </c>
      <c r="E23" s="24">
        <v>3.69</v>
      </c>
      <c r="F23" s="28">
        <f t="shared" si="1"/>
        <v>2.7137058715961042E-3</v>
      </c>
      <c r="G23" s="26">
        <v>126.75</v>
      </c>
      <c r="H23" s="28">
        <f t="shared" si="2"/>
        <v>-1.3712261863981895E-2</v>
      </c>
      <c r="I23" s="26">
        <v>2.198</v>
      </c>
      <c r="J23" s="29">
        <f t="shared" si="3"/>
        <v>2.1615005695836659E-2</v>
      </c>
      <c r="K23" s="5">
        <v>52.15</v>
      </c>
      <c r="L23" s="29">
        <f t="shared" si="4"/>
        <v>5.5186415567290731E-2</v>
      </c>
    </row>
    <row r="24" spans="1:12" ht="12.75" customHeight="1" x14ac:dyDescent="0.2">
      <c r="A24" s="21">
        <f t="shared" si="0"/>
        <v>39129</v>
      </c>
      <c r="B24" s="22">
        <v>39129</v>
      </c>
      <c r="C24" s="30">
        <v>1.9</v>
      </c>
      <c r="D24" s="28">
        <f t="shared" si="6"/>
        <v>4.8527040894660381E-2</v>
      </c>
      <c r="E24" s="24">
        <v>3.83</v>
      </c>
      <c r="F24" s="28">
        <f t="shared" si="1"/>
        <v>3.7238345140118791E-2</v>
      </c>
      <c r="G24" s="26">
        <v>126.75</v>
      </c>
      <c r="H24" s="28">
        <f t="shared" si="2"/>
        <v>0</v>
      </c>
      <c r="I24" s="26">
        <v>2.2509999999999999</v>
      </c>
      <c r="J24" s="29">
        <f t="shared" si="3"/>
        <v>2.382670594316558E-2</v>
      </c>
      <c r="K24" s="5">
        <v>51.62</v>
      </c>
      <c r="L24" s="29">
        <f t="shared" si="4"/>
        <v>-1.0214987156313622E-2</v>
      </c>
    </row>
    <row r="25" spans="1:12" ht="12.75" customHeight="1" x14ac:dyDescent="0.2">
      <c r="A25" s="21">
        <f t="shared" si="0"/>
        <v>39136</v>
      </c>
      <c r="B25" s="22">
        <v>39136</v>
      </c>
      <c r="C25" s="30">
        <v>1.99</v>
      </c>
      <c r="D25" s="28">
        <f t="shared" si="6"/>
        <v>4.6280752564006392E-2</v>
      </c>
      <c r="E25" s="24">
        <v>4</v>
      </c>
      <c r="F25" s="28">
        <f t="shared" si="1"/>
        <v>4.3429557927335889E-2</v>
      </c>
      <c r="G25" s="26">
        <v>126.75</v>
      </c>
      <c r="H25" s="28">
        <f t="shared" si="2"/>
        <v>0</v>
      </c>
      <c r="I25" s="26">
        <v>2.3380000000000001</v>
      </c>
      <c r="J25" s="29">
        <f t="shared" si="3"/>
        <v>3.7921301125281574E-2</v>
      </c>
      <c r="K25" s="5">
        <v>52.31</v>
      </c>
      <c r="L25" s="29">
        <f t="shared" si="4"/>
        <v>1.3278363092051885E-2</v>
      </c>
    </row>
    <row r="26" spans="1:12" ht="12.75" customHeight="1" x14ac:dyDescent="0.2">
      <c r="A26" s="21">
        <f t="shared" si="0"/>
        <v>39143</v>
      </c>
      <c r="B26" s="22">
        <v>39143</v>
      </c>
      <c r="C26" s="30">
        <v>2.04</v>
      </c>
      <c r="D26" s="28">
        <f t="shared" si="6"/>
        <v>2.4815169119723993E-2</v>
      </c>
      <c r="E26" s="24">
        <v>3.97</v>
      </c>
      <c r="F26" s="28">
        <f t="shared" si="1"/>
        <v>-7.5282664207915245E-3</v>
      </c>
      <c r="G26" s="26">
        <v>131</v>
      </c>
      <c r="H26" s="28">
        <f t="shared" si="2"/>
        <v>3.2980680729858949E-2</v>
      </c>
      <c r="I26" s="26">
        <v>2.46</v>
      </c>
      <c r="J26" s="29">
        <f t="shared" si="3"/>
        <v>5.0865486894394692E-2</v>
      </c>
      <c r="K26" s="5">
        <v>55.18</v>
      </c>
      <c r="L26" s="29">
        <f t="shared" si="4"/>
        <v>5.3413011406620234E-2</v>
      </c>
    </row>
    <row r="27" spans="1:12" ht="12.75" customHeight="1" x14ac:dyDescent="0.2">
      <c r="A27" s="21">
        <f t="shared" si="0"/>
        <v>39150</v>
      </c>
      <c r="B27" s="22">
        <v>39150</v>
      </c>
      <c r="C27" s="30">
        <v>2.13</v>
      </c>
      <c r="D27" s="28">
        <f t="shared" si="6"/>
        <v>4.3172171865208574E-2</v>
      </c>
      <c r="E27" s="24">
        <v>4.03</v>
      </c>
      <c r="F27" s="28">
        <f t="shared" si="1"/>
        <v>1.5000281259492598E-2</v>
      </c>
      <c r="G27" s="26">
        <v>131.25</v>
      </c>
      <c r="H27" s="28">
        <f t="shared" si="2"/>
        <v>1.906578270581669E-3</v>
      </c>
      <c r="I27" s="26">
        <v>2.4990000000000001</v>
      </c>
      <c r="J27" s="29">
        <f t="shared" si="3"/>
        <v>1.5729301908543908E-2</v>
      </c>
      <c r="K27" s="5">
        <v>55.53</v>
      </c>
      <c r="L27" s="29">
        <f t="shared" si="4"/>
        <v>6.322846464375872E-3</v>
      </c>
    </row>
    <row r="28" spans="1:12" ht="12.75" customHeight="1" x14ac:dyDescent="0.2">
      <c r="A28" s="21">
        <f t="shared" si="0"/>
        <v>39157</v>
      </c>
      <c r="B28" s="22">
        <v>39157</v>
      </c>
      <c r="C28" s="30">
        <v>2.19</v>
      </c>
      <c r="D28" s="28">
        <f t="shared" si="6"/>
        <v>2.7779564107075671E-2</v>
      </c>
      <c r="E28" s="24">
        <v>3.72</v>
      </c>
      <c r="F28" s="28">
        <f t="shared" si="1"/>
        <v>-8.0042707673536495E-2</v>
      </c>
      <c r="G28" s="26">
        <v>130.5</v>
      </c>
      <c r="H28" s="28">
        <f t="shared" si="2"/>
        <v>-5.7306747089849834E-3</v>
      </c>
      <c r="I28" s="26">
        <v>2.5110000000000001</v>
      </c>
      <c r="J28" s="29">
        <f t="shared" si="3"/>
        <v>4.7904283226327393E-3</v>
      </c>
      <c r="K28" s="5">
        <v>54.39</v>
      </c>
      <c r="L28" s="29">
        <f t="shared" si="4"/>
        <v>-2.0743101818646498E-2</v>
      </c>
    </row>
    <row r="29" spans="1:12" x14ac:dyDescent="0.2">
      <c r="A29" s="21">
        <f t="shared" si="0"/>
        <v>39164</v>
      </c>
      <c r="B29" s="22">
        <v>39164</v>
      </c>
      <c r="C29" s="30">
        <v>2.25</v>
      </c>
      <c r="D29" s="28">
        <f t="shared" si="6"/>
        <v>2.7028672387919419E-2</v>
      </c>
      <c r="E29" s="24">
        <v>3.7</v>
      </c>
      <c r="F29" s="28">
        <f t="shared" si="1"/>
        <v>-5.3908486348764233E-3</v>
      </c>
      <c r="G29" s="26">
        <v>129.1</v>
      </c>
      <c r="H29" s="28">
        <f t="shared" si="2"/>
        <v>-1.0785928910151331E-2</v>
      </c>
      <c r="I29" s="26">
        <v>2.54</v>
      </c>
      <c r="J29" s="29">
        <f t="shared" si="3"/>
        <v>1.1483000854997278E-2</v>
      </c>
      <c r="K29" s="5">
        <v>54.02</v>
      </c>
      <c r="L29" s="29">
        <f t="shared" si="4"/>
        <v>-6.8259650703998706E-3</v>
      </c>
    </row>
    <row r="30" spans="1:12" x14ac:dyDescent="0.2">
      <c r="A30" s="21">
        <f t="shared" si="0"/>
        <v>39171</v>
      </c>
      <c r="B30" s="22">
        <v>39171</v>
      </c>
      <c r="C30" s="30">
        <v>2.2200000000000002</v>
      </c>
      <c r="D30" s="28">
        <f t="shared" si="6"/>
        <v>-1.3423020332140548E-2</v>
      </c>
      <c r="E30" s="24">
        <v>3.61</v>
      </c>
      <c r="F30" s="28">
        <f t="shared" si="1"/>
        <v>-2.4625047305389294E-2</v>
      </c>
      <c r="G30" s="26">
        <v>126.2</v>
      </c>
      <c r="H30" s="28">
        <f t="shared" si="2"/>
        <v>-2.2719347745483984E-2</v>
      </c>
      <c r="I30" s="26">
        <v>2.6360000000000001</v>
      </c>
      <c r="J30" s="29">
        <f t="shared" si="3"/>
        <v>3.7098535609815679E-2</v>
      </c>
      <c r="K30" s="5">
        <v>58.08</v>
      </c>
      <c r="L30" s="29">
        <f t="shared" si="4"/>
        <v>7.2467022152071028E-2</v>
      </c>
    </row>
    <row r="31" spans="1:12" x14ac:dyDescent="0.2">
      <c r="A31" s="21">
        <f t="shared" si="0"/>
        <v>39178</v>
      </c>
      <c r="B31" s="22">
        <v>39178</v>
      </c>
      <c r="C31" s="30">
        <v>2.17</v>
      </c>
      <c r="D31" s="28">
        <f t="shared" si="6"/>
        <v>-2.2780028331819999E-2</v>
      </c>
      <c r="E31" s="24">
        <v>3.29</v>
      </c>
      <c r="F31" s="28">
        <f t="shared" si="1"/>
        <v>-9.2820207567508958E-2</v>
      </c>
      <c r="G31" s="26">
        <v>118</v>
      </c>
      <c r="H31" s="28">
        <f t="shared" si="2"/>
        <v>-6.7183325641448063E-2</v>
      </c>
      <c r="I31" s="26">
        <v>2.746</v>
      </c>
      <c r="J31" s="29">
        <f t="shared" si="3"/>
        <v>4.0882690705518372E-2</v>
      </c>
      <c r="K31" s="5">
        <v>60.53</v>
      </c>
      <c r="L31" s="29">
        <f t="shared" si="4"/>
        <v>4.1317739387055172E-2</v>
      </c>
    </row>
    <row r="32" spans="1:12" x14ac:dyDescent="0.2">
      <c r="A32" s="21">
        <f t="shared" si="0"/>
        <v>39185</v>
      </c>
      <c r="B32" s="22">
        <v>39185</v>
      </c>
      <c r="C32" s="30">
        <v>2.13</v>
      </c>
      <c r="D32" s="28">
        <f t="shared" si="6"/>
        <v>-1.8605187831034469E-2</v>
      </c>
      <c r="E32" s="24">
        <v>3.32</v>
      </c>
      <c r="F32" s="28">
        <f t="shared" si="1"/>
        <v>9.0772181511166797E-3</v>
      </c>
      <c r="G32" s="26">
        <v>113.45</v>
      </c>
      <c r="H32" s="28">
        <f t="shared" si="2"/>
        <v>-3.9322413239814058E-2</v>
      </c>
      <c r="I32" s="26">
        <v>2.8220000000000001</v>
      </c>
      <c r="J32" s="29">
        <f t="shared" si="3"/>
        <v>2.7300546084842985E-2</v>
      </c>
      <c r="K32" s="5">
        <v>59.21</v>
      </c>
      <c r="L32" s="29">
        <f t="shared" si="4"/>
        <v>-2.2048663359911069E-2</v>
      </c>
    </row>
    <row r="33" spans="1:12" x14ac:dyDescent="0.2">
      <c r="A33" s="21">
        <f t="shared" si="0"/>
        <v>39192</v>
      </c>
      <c r="B33" s="22">
        <v>39192</v>
      </c>
      <c r="C33" s="30">
        <v>2.16</v>
      </c>
      <c r="D33" s="28">
        <f t="shared" si="6"/>
        <v>1.3986241974740091E-2</v>
      </c>
      <c r="E33" s="24">
        <v>3.35</v>
      </c>
      <c r="F33" s="28">
        <f t="shared" si="1"/>
        <v>8.9955629085780031E-3</v>
      </c>
      <c r="G33" s="26">
        <v>111.5</v>
      </c>
      <c r="H33" s="28">
        <f t="shared" si="2"/>
        <v>-1.7337620325677264E-2</v>
      </c>
      <c r="I33" s="26">
        <v>2.8109999999999999</v>
      </c>
      <c r="J33" s="29">
        <f t="shared" si="3"/>
        <v>-3.9055615062275153E-3</v>
      </c>
      <c r="K33" s="5">
        <v>58.66</v>
      </c>
      <c r="L33" s="29">
        <f t="shared" si="4"/>
        <v>-9.332382994379872E-3</v>
      </c>
    </row>
    <row r="34" spans="1:12" x14ac:dyDescent="0.2">
      <c r="A34" s="21">
        <f t="shared" si="0"/>
        <v>39199</v>
      </c>
      <c r="B34" s="22">
        <v>39199</v>
      </c>
      <c r="C34" s="30">
        <v>2.19</v>
      </c>
      <c r="D34" s="28">
        <f t="shared" si="6"/>
        <v>1.3793322132335769E-2</v>
      </c>
      <c r="E34" s="24">
        <v>3.35</v>
      </c>
      <c r="F34" s="28">
        <f t="shared" si="1"/>
        <v>0</v>
      </c>
      <c r="G34" s="26">
        <v>107.95</v>
      </c>
      <c r="H34" s="28">
        <f t="shared" si="2"/>
        <v>-3.2356433939357117E-2</v>
      </c>
      <c r="I34" s="26">
        <v>2.9220000000000002</v>
      </c>
      <c r="J34" s="29">
        <f t="shared" si="3"/>
        <v>3.8728021404112981E-2</v>
      </c>
      <c r="K34" s="5">
        <v>59.19</v>
      </c>
      <c r="L34" s="29">
        <f t="shared" si="4"/>
        <v>8.9945451533287764E-3</v>
      </c>
    </row>
    <row r="35" spans="1:12" x14ac:dyDescent="0.2">
      <c r="A35" s="21">
        <f t="shared" si="0"/>
        <v>39206</v>
      </c>
      <c r="B35" s="22">
        <v>39206</v>
      </c>
      <c r="C35" s="30">
        <v>2.14</v>
      </c>
      <c r="D35" s="28">
        <f t="shared" si="6"/>
        <v>-2.309571479464928E-2</v>
      </c>
      <c r="E35" s="24">
        <v>3.45</v>
      </c>
      <c r="F35" s="28">
        <f t="shared" si="1"/>
        <v>2.9413885206293407E-2</v>
      </c>
      <c r="G35" s="26">
        <v>106.4</v>
      </c>
      <c r="H35" s="28">
        <f t="shared" si="2"/>
        <v>-1.4462580053272365E-2</v>
      </c>
      <c r="I35" s="26">
        <v>3.0019999999999998</v>
      </c>
      <c r="J35" s="29">
        <f t="shared" si="3"/>
        <v>2.7010419882762364E-2</v>
      </c>
      <c r="K35" s="5">
        <v>59.76</v>
      </c>
      <c r="L35" s="29">
        <f t="shared" si="4"/>
        <v>9.5839321219281844E-3</v>
      </c>
    </row>
    <row r="36" spans="1:12" x14ac:dyDescent="0.2">
      <c r="A36" s="21">
        <f t="shared" si="0"/>
        <v>39213</v>
      </c>
      <c r="B36" s="22">
        <v>39213</v>
      </c>
      <c r="C36" s="30">
        <v>2.17</v>
      </c>
      <c r="D36" s="28">
        <f t="shared" si="6"/>
        <v>1.3921338518608014E-2</v>
      </c>
      <c r="E36" s="24">
        <v>3.38</v>
      </c>
      <c r="F36" s="28">
        <f t="shared" si="1"/>
        <v>-2.0498521548341045E-2</v>
      </c>
      <c r="G36" s="26">
        <v>104</v>
      </c>
      <c r="H36" s="28">
        <f t="shared" si="2"/>
        <v>-2.2814677766171399E-2</v>
      </c>
      <c r="I36" s="26">
        <v>3.069</v>
      </c>
      <c r="J36" s="29">
        <f t="shared" si="3"/>
        <v>2.207304242632898E-2</v>
      </c>
      <c r="K36" s="5">
        <v>58.06</v>
      </c>
      <c r="L36" s="29">
        <f t="shared" si="4"/>
        <v>-2.885958222807794E-2</v>
      </c>
    </row>
    <row r="37" spans="1:12" x14ac:dyDescent="0.2">
      <c r="A37" s="21">
        <f t="shared" si="0"/>
        <v>39220</v>
      </c>
      <c r="B37" s="22">
        <v>39220</v>
      </c>
      <c r="C37" s="30">
        <v>2.2000000000000002</v>
      </c>
      <c r="D37" s="28">
        <f t="shared" si="6"/>
        <v>1.3730192811902037E-2</v>
      </c>
      <c r="E37" s="24">
        <v>3.41</v>
      </c>
      <c r="F37" s="28">
        <f t="shared" si="1"/>
        <v>8.8365818004981639E-3</v>
      </c>
      <c r="G37" s="26">
        <v>102.5</v>
      </c>
      <c r="H37" s="28">
        <f t="shared" si="2"/>
        <v>-1.4528100562909744E-2</v>
      </c>
      <c r="I37" s="26">
        <v>3.2109999999999999</v>
      </c>
      <c r="J37" s="29">
        <f t="shared" si="3"/>
        <v>4.5230639469777789E-2</v>
      </c>
      <c r="K37" s="5">
        <v>60.29</v>
      </c>
      <c r="L37" s="29">
        <f t="shared" si="4"/>
        <v>3.7689293904830355E-2</v>
      </c>
    </row>
    <row r="38" spans="1:12" x14ac:dyDescent="0.2">
      <c r="A38" s="21">
        <f t="shared" si="0"/>
        <v>39227</v>
      </c>
      <c r="B38" s="22">
        <v>39227</v>
      </c>
      <c r="C38" s="30">
        <v>2.17</v>
      </c>
      <c r="D38" s="28">
        <f t="shared" si="6"/>
        <v>-1.3730192811902131E-2</v>
      </c>
      <c r="E38" s="24">
        <v>3.47</v>
      </c>
      <c r="F38" s="28">
        <f t="shared" si="1"/>
        <v>1.7442302663342388E-2</v>
      </c>
      <c r="G38" s="26">
        <v>100.25</v>
      </c>
      <c r="H38" s="28">
        <f t="shared" si="2"/>
        <v>-2.2195732391784323E-2</v>
      </c>
      <c r="I38" s="26">
        <v>3.1949999999999998</v>
      </c>
      <c r="J38" s="29">
        <f t="shared" si="3"/>
        <v>-4.9953272778787321E-3</v>
      </c>
      <c r="K38" s="5">
        <v>63.11</v>
      </c>
      <c r="L38" s="29">
        <f t="shared" si="4"/>
        <v>4.5712983094834042E-2</v>
      </c>
    </row>
    <row r="39" spans="1:12" x14ac:dyDescent="0.2">
      <c r="A39" s="21">
        <f t="shared" si="0"/>
        <v>39234</v>
      </c>
      <c r="B39" s="22">
        <v>39234</v>
      </c>
      <c r="C39" s="30">
        <v>2.16</v>
      </c>
      <c r="D39" s="28">
        <f t="shared" si="6"/>
        <v>-4.6189458562944166E-3</v>
      </c>
      <c r="E39" s="24">
        <v>3.55</v>
      </c>
      <c r="F39" s="28">
        <f t="shared" si="1"/>
        <v>2.2793009528556566E-2</v>
      </c>
      <c r="G39" s="26">
        <v>101</v>
      </c>
      <c r="H39" s="28">
        <f t="shared" si="2"/>
        <v>7.4534506545809722E-3</v>
      </c>
      <c r="I39" s="26">
        <v>3.1320000000000001</v>
      </c>
      <c r="J39" s="29">
        <f t="shared" si="3"/>
        <v>-1.9915309700941318E-2</v>
      </c>
      <c r="K39" s="5">
        <v>62.1</v>
      </c>
      <c r="L39" s="29">
        <f t="shared" si="4"/>
        <v>-1.6133246656715103E-2</v>
      </c>
    </row>
    <row r="40" spans="1:12" x14ac:dyDescent="0.2">
      <c r="A40" s="21">
        <f t="shared" si="0"/>
        <v>39241</v>
      </c>
      <c r="B40" s="22">
        <v>39241</v>
      </c>
      <c r="C40" s="30">
        <v>2.17</v>
      </c>
      <c r="D40" s="28">
        <f t="shared" si="6"/>
        <v>4.6189458562944583E-3</v>
      </c>
      <c r="E40" s="24">
        <v>3.66</v>
      </c>
      <c r="F40" s="28">
        <f t="shared" si="1"/>
        <v>3.0515543925950628E-2</v>
      </c>
      <c r="G40" s="26">
        <v>96.25</v>
      </c>
      <c r="H40" s="28">
        <f t="shared" si="2"/>
        <v>-4.8171543673365888E-2</v>
      </c>
      <c r="I40" s="26">
        <v>3.04</v>
      </c>
      <c r="J40" s="29">
        <f t="shared" si="3"/>
        <v>-2.9814262710426327E-2</v>
      </c>
      <c r="K40" s="5">
        <v>64.099999999999994</v>
      </c>
      <c r="L40" s="29">
        <f t="shared" si="4"/>
        <v>3.1698374987191198E-2</v>
      </c>
    </row>
    <row r="41" spans="1:12" x14ac:dyDescent="0.2">
      <c r="A41" s="21">
        <f t="shared" si="0"/>
        <v>39248</v>
      </c>
      <c r="B41" s="22">
        <v>39248</v>
      </c>
      <c r="C41" s="30">
        <v>2.1</v>
      </c>
      <c r="D41" s="28">
        <f t="shared" si="6"/>
        <v>-3.2789822822990838E-2</v>
      </c>
      <c r="E41" s="24">
        <v>3.82</v>
      </c>
      <c r="F41" s="28">
        <f t="shared" si="1"/>
        <v>4.2787275205208766E-2</v>
      </c>
      <c r="G41" s="26">
        <v>95.35</v>
      </c>
      <c r="H41" s="28">
        <f t="shared" si="2"/>
        <v>-9.3946411214656245E-3</v>
      </c>
      <c r="I41" s="26">
        <v>2.9740000000000002</v>
      </c>
      <c r="J41" s="29">
        <f t="shared" si="3"/>
        <v>-2.1949667380166925E-2</v>
      </c>
      <c r="K41" s="5">
        <v>63.45</v>
      </c>
      <c r="L41" s="29">
        <f t="shared" si="4"/>
        <v>-1.0192169766227574E-2</v>
      </c>
    </row>
    <row r="42" spans="1:12" x14ac:dyDescent="0.2">
      <c r="A42" s="21">
        <f t="shared" si="0"/>
        <v>39255</v>
      </c>
      <c r="B42" s="22">
        <v>39255</v>
      </c>
      <c r="C42" s="30">
        <v>2.04</v>
      </c>
      <c r="D42" s="28">
        <f t="shared" si="6"/>
        <v>-2.8987536873252298E-2</v>
      </c>
      <c r="E42" s="24">
        <v>3.8</v>
      </c>
      <c r="F42" s="28">
        <f t="shared" si="1"/>
        <v>-5.2493558861436782E-3</v>
      </c>
      <c r="G42" s="26">
        <v>97.5</v>
      </c>
      <c r="H42" s="28">
        <f t="shared" si="2"/>
        <v>2.2298045957373388E-2</v>
      </c>
      <c r="I42" s="26">
        <v>2.9510000000000001</v>
      </c>
      <c r="J42" s="29">
        <f t="shared" si="3"/>
        <v>-7.7637520771610628E-3</v>
      </c>
      <c r="K42" s="5">
        <v>65.69</v>
      </c>
      <c r="L42" s="29">
        <f t="shared" si="4"/>
        <v>3.4694512743984746E-2</v>
      </c>
    </row>
    <row r="43" spans="1:12" x14ac:dyDescent="0.2">
      <c r="A43" s="21">
        <f t="shared" si="0"/>
        <v>39262</v>
      </c>
      <c r="B43" s="22">
        <v>39262</v>
      </c>
      <c r="C43" s="30">
        <v>2.0299999999999998</v>
      </c>
      <c r="D43" s="28">
        <f t="shared" si="6"/>
        <v>-4.9140148024291522E-3</v>
      </c>
      <c r="E43" s="24">
        <v>3.31</v>
      </c>
      <c r="F43" s="28">
        <f t="shared" si="1"/>
        <v>-0.13805287734336849</v>
      </c>
      <c r="G43" s="26">
        <v>96.6</v>
      </c>
      <c r="H43" s="28">
        <f t="shared" si="2"/>
        <v>-9.2736367853292149E-3</v>
      </c>
      <c r="I43" s="26">
        <v>2.9329999999999998</v>
      </c>
      <c r="J43" s="29">
        <f t="shared" si="3"/>
        <v>-6.118305965488474E-3</v>
      </c>
      <c r="K43" s="5">
        <v>65.510000000000005</v>
      </c>
      <c r="L43" s="29">
        <f t="shared" si="4"/>
        <v>-2.7439041605965067E-3</v>
      </c>
    </row>
    <row r="44" spans="1:12" x14ac:dyDescent="0.2">
      <c r="A44" s="21">
        <f t="shared" si="0"/>
        <v>39269</v>
      </c>
      <c r="B44" s="22">
        <v>39269</v>
      </c>
      <c r="C44" s="30">
        <v>2.0099999999999998</v>
      </c>
      <c r="D44" s="28">
        <f t="shared" si="6"/>
        <v>-9.9010709827115698E-3</v>
      </c>
      <c r="E44" s="24">
        <v>3.05</v>
      </c>
      <c r="F44" s="28">
        <f t="shared" si="1"/>
        <v>-8.1806598769651406E-2</v>
      </c>
      <c r="G44" s="26">
        <v>96.31</v>
      </c>
      <c r="H44" s="28">
        <f t="shared" si="2"/>
        <v>-3.006585645699274E-3</v>
      </c>
      <c r="I44" s="26">
        <v>2.9710000000000001</v>
      </c>
      <c r="J44" s="29">
        <f t="shared" si="3"/>
        <v>1.2872806485156745E-2</v>
      </c>
      <c r="K44" s="5">
        <v>67.650000000000006</v>
      </c>
      <c r="L44" s="29">
        <f t="shared" si="4"/>
        <v>3.2144551873011976E-2</v>
      </c>
    </row>
    <row r="45" spans="1:12" x14ac:dyDescent="0.2">
      <c r="A45" s="21">
        <f t="shared" si="0"/>
        <v>39276</v>
      </c>
      <c r="B45" s="22">
        <v>39276</v>
      </c>
      <c r="C45" s="30">
        <v>1.98</v>
      </c>
      <c r="D45" s="28">
        <f t="shared" si="6"/>
        <v>-1.5037877364540446E-2</v>
      </c>
      <c r="E45" s="24">
        <v>3.13</v>
      </c>
      <c r="F45" s="28">
        <f t="shared" si="1"/>
        <v>2.5891413932741709E-2</v>
      </c>
      <c r="G45" s="26">
        <v>94.75</v>
      </c>
      <c r="H45" s="28">
        <f t="shared" si="2"/>
        <v>-1.633031161023725E-2</v>
      </c>
      <c r="I45" s="26">
        <v>3.0459999999999998</v>
      </c>
      <c r="J45" s="29">
        <f t="shared" si="3"/>
        <v>2.4930657992499453E-2</v>
      </c>
      <c r="K45" s="5">
        <v>70.63</v>
      </c>
      <c r="L45" s="29">
        <f t="shared" si="4"/>
        <v>4.3107628804033758E-2</v>
      </c>
    </row>
    <row r="46" spans="1:12" x14ac:dyDescent="0.2">
      <c r="A46" s="21">
        <f t="shared" si="0"/>
        <v>39283</v>
      </c>
      <c r="B46" s="22">
        <v>39283</v>
      </c>
      <c r="C46" s="30">
        <v>1.94</v>
      </c>
      <c r="D46" s="28">
        <f t="shared" si="6"/>
        <v>-2.0408871631207123E-2</v>
      </c>
      <c r="E46" s="24">
        <v>3.03</v>
      </c>
      <c r="F46" s="28">
        <f t="shared" si="1"/>
        <v>-3.2470385030784157E-2</v>
      </c>
      <c r="G46" s="26">
        <v>93.95</v>
      </c>
      <c r="H46" s="28">
        <f t="shared" si="2"/>
        <v>-8.4791181030613935E-3</v>
      </c>
      <c r="I46" s="26">
        <v>2.9380000000000002</v>
      </c>
      <c r="J46" s="29">
        <f t="shared" si="3"/>
        <v>-3.6100176721284405E-2</v>
      </c>
      <c r="K46" s="5">
        <v>71.709999999999994</v>
      </c>
      <c r="L46" s="29">
        <f t="shared" si="4"/>
        <v>1.5175224473652521E-2</v>
      </c>
    </row>
    <row r="47" spans="1:12" x14ac:dyDescent="0.2">
      <c r="A47" s="21">
        <f t="shared" si="0"/>
        <v>39290</v>
      </c>
      <c r="B47" s="22">
        <v>39290</v>
      </c>
      <c r="C47" s="30">
        <v>1.96</v>
      </c>
      <c r="D47" s="28">
        <f t="shared" si="6"/>
        <v>1.0256500167189061E-2</v>
      </c>
      <c r="E47" s="24">
        <v>2.86</v>
      </c>
      <c r="F47" s="28">
        <f t="shared" si="1"/>
        <v>-5.7740994689516566E-2</v>
      </c>
      <c r="G47" s="26">
        <v>91.85</v>
      </c>
      <c r="H47" s="28">
        <f t="shared" si="2"/>
        <v>-2.2605914198339731E-2</v>
      </c>
      <c r="I47" s="26">
        <v>2.8490000000000002</v>
      </c>
      <c r="J47" s="29">
        <f t="shared" si="3"/>
        <v>-3.0761022235914325E-2</v>
      </c>
      <c r="K47" s="5">
        <v>71.36</v>
      </c>
      <c r="L47" s="29">
        <f t="shared" si="4"/>
        <v>-4.8927196227294967E-3</v>
      </c>
    </row>
    <row r="48" spans="1:12" x14ac:dyDescent="0.2">
      <c r="A48" s="21">
        <f t="shared" si="0"/>
        <v>39297</v>
      </c>
      <c r="B48" s="22">
        <v>39297</v>
      </c>
      <c r="C48" s="30">
        <v>1.97</v>
      </c>
      <c r="D48" s="28">
        <f t="shared" si="6"/>
        <v>5.0890695074712281E-3</v>
      </c>
      <c r="E48" s="24">
        <v>2.97</v>
      </c>
      <c r="F48" s="28">
        <f t="shared" si="1"/>
        <v>3.7740327982847113E-2</v>
      </c>
      <c r="G48" s="26">
        <v>91.75</v>
      </c>
      <c r="H48" s="28">
        <f t="shared" si="2"/>
        <v>-1.0893247264549934E-3</v>
      </c>
      <c r="I48" s="26">
        <v>2.8159999999999998</v>
      </c>
      <c r="J48" s="29">
        <f t="shared" si="3"/>
        <v>-1.1650617219975363E-2</v>
      </c>
      <c r="K48" s="5">
        <v>72.19</v>
      </c>
      <c r="L48" s="29">
        <f t="shared" si="4"/>
        <v>1.1564043879315681E-2</v>
      </c>
    </row>
    <row r="49" spans="1:12" x14ac:dyDescent="0.2">
      <c r="A49" s="21">
        <f t="shared" si="0"/>
        <v>39304</v>
      </c>
      <c r="B49" s="22">
        <v>39304</v>
      </c>
      <c r="C49" s="30">
        <v>1.93</v>
      </c>
      <c r="D49" s="28">
        <f t="shared" si="6"/>
        <v>-2.0513539833103018E-2</v>
      </c>
      <c r="E49" s="24">
        <v>3.08</v>
      </c>
      <c r="F49" s="28">
        <f t="shared" si="1"/>
        <v>3.6367644170874791E-2</v>
      </c>
      <c r="G49" s="26">
        <v>91.25</v>
      </c>
      <c r="H49" s="28">
        <f t="shared" si="2"/>
        <v>-5.4644944720787375E-3</v>
      </c>
      <c r="I49" s="26">
        <v>2.7519999999999998</v>
      </c>
      <c r="J49" s="29">
        <f t="shared" si="3"/>
        <v>-2.2989518224698718E-2</v>
      </c>
      <c r="K49" s="5">
        <v>68.09</v>
      </c>
      <c r="L49" s="29">
        <f t="shared" si="4"/>
        <v>-5.8471172656194247E-2</v>
      </c>
    </row>
    <row r="50" spans="1:12" x14ac:dyDescent="0.2">
      <c r="A50" s="21">
        <f t="shared" si="0"/>
        <v>39311</v>
      </c>
      <c r="B50" s="22">
        <v>39311</v>
      </c>
      <c r="C50" s="30">
        <v>1.85</v>
      </c>
      <c r="D50" s="28">
        <f t="shared" si="6"/>
        <v>-4.2334363826560653E-2</v>
      </c>
      <c r="E50" s="24">
        <v>3.03</v>
      </c>
      <c r="F50" s="28">
        <f t="shared" si="1"/>
        <v>-1.6366977464205359E-2</v>
      </c>
      <c r="G50" s="26">
        <v>91.85</v>
      </c>
      <c r="H50" s="28">
        <f t="shared" si="2"/>
        <v>6.5538191985336581E-3</v>
      </c>
      <c r="I50" s="26">
        <v>2.7829999999999999</v>
      </c>
      <c r="J50" s="29">
        <f t="shared" si="3"/>
        <v>1.1201562472656601E-2</v>
      </c>
      <c r="K50" s="5">
        <v>66.290000000000006</v>
      </c>
      <c r="L50" s="29">
        <f t="shared" si="4"/>
        <v>-2.6791303241575092E-2</v>
      </c>
    </row>
    <row r="51" spans="1:12" x14ac:dyDescent="0.2">
      <c r="A51" s="21">
        <f t="shared" si="0"/>
        <v>39318</v>
      </c>
      <c r="B51" s="22">
        <v>39318</v>
      </c>
      <c r="C51" s="30">
        <v>1.82</v>
      </c>
      <c r="D51" s="28">
        <f t="shared" si="6"/>
        <v>-1.6349138001529526E-2</v>
      </c>
      <c r="E51" s="24">
        <v>3.14</v>
      </c>
      <c r="F51" s="28">
        <f t="shared" si="1"/>
        <v>3.5660180398884328E-2</v>
      </c>
      <c r="G51" s="26">
        <v>92.5</v>
      </c>
      <c r="H51" s="28">
        <f t="shared" si="2"/>
        <v>7.0518328572449973E-3</v>
      </c>
      <c r="I51" s="26">
        <v>2.7559999999999998</v>
      </c>
      <c r="J51" s="29">
        <f t="shared" si="3"/>
        <v>-9.7491293923416354E-3</v>
      </c>
      <c r="K51" s="5">
        <v>65.16</v>
      </c>
      <c r="L51" s="29">
        <f t="shared" si="4"/>
        <v>-1.7193272519455915E-2</v>
      </c>
    </row>
    <row r="52" spans="1:12" x14ac:dyDescent="0.2">
      <c r="A52" s="21">
        <f t="shared" si="0"/>
        <v>39325</v>
      </c>
      <c r="B52" s="22">
        <v>39325</v>
      </c>
      <c r="C52" s="30">
        <v>1.77</v>
      </c>
      <c r="D52" s="28">
        <f t="shared" si="6"/>
        <v>-2.7856954502966224E-2</v>
      </c>
      <c r="E52" s="24">
        <v>3.06</v>
      </c>
      <c r="F52" s="28">
        <f t="shared" si="1"/>
        <v>-2.580788395587259E-2</v>
      </c>
      <c r="G52" s="26">
        <v>94.45</v>
      </c>
      <c r="H52" s="28">
        <f t="shared" si="2"/>
        <v>2.0861949429139055E-2</v>
      </c>
      <c r="I52" s="26">
        <v>2.8180000000000001</v>
      </c>
      <c r="J52" s="29">
        <f t="shared" si="3"/>
        <v>2.2247060325076357E-2</v>
      </c>
      <c r="K52" s="5">
        <v>66.47</v>
      </c>
      <c r="L52" s="29">
        <f t="shared" si="4"/>
        <v>1.990493431964608E-2</v>
      </c>
    </row>
    <row r="53" spans="1:12" x14ac:dyDescent="0.2">
      <c r="A53" s="21">
        <f t="shared" si="0"/>
        <v>39332</v>
      </c>
      <c r="B53" s="22">
        <v>39332</v>
      </c>
      <c r="C53" s="30">
        <v>1.67</v>
      </c>
      <c r="D53" s="28">
        <f t="shared" si="6"/>
        <v>-5.8155920157074069E-2</v>
      </c>
      <c r="E53" s="24">
        <v>3.06</v>
      </c>
      <c r="F53" s="28">
        <f t="shared" si="1"/>
        <v>0</v>
      </c>
      <c r="G53" s="26">
        <v>97.19</v>
      </c>
      <c r="H53" s="28">
        <f t="shared" si="2"/>
        <v>2.8597231567860603E-2</v>
      </c>
      <c r="I53" s="26">
        <v>2.84</v>
      </c>
      <c r="J53" s="29">
        <f t="shared" si="3"/>
        <v>7.7766386966260995E-3</v>
      </c>
      <c r="K53" s="5">
        <v>68.930000000000007</v>
      </c>
      <c r="L53" s="29">
        <f t="shared" si="4"/>
        <v>3.6340778844069999E-2</v>
      </c>
    </row>
    <row r="54" spans="1:12" x14ac:dyDescent="0.2">
      <c r="A54" s="21">
        <f t="shared" si="0"/>
        <v>39339</v>
      </c>
      <c r="B54" s="22">
        <v>39339</v>
      </c>
      <c r="C54" s="30">
        <v>1.6</v>
      </c>
      <c r="D54" s="28">
        <f t="shared" si="6"/>
        <v>-4.2819997182928067E-2</v>
      </c>
      <c r="E54" s="24">
        <v>3.1</v>
      </c>
      <c r="F54" s="28">
        <f t="shared" si="1"/>
        <v>1.2987195526811112E-2</v>
      </c>
      <c r="G54" s="26">
        <v>98.75</v>
      </c>
      <c r="H54" s="28">
        <f t="shared" si="2"/>
        <v>1.592357826585197E-2</v>
      </c>
      <c r="I54" s="26">
        <v>2.7919999999999998</v>
      </c>
      <c r="J54" s="29">
        <f t="shared" si="3"/>
        <v>-1.704586727298861E-2</v>
      </c>
      <c r="K54" s="5">
        <v>70.239999999999995</v>
      </c>
      <c r="L54" s="29">
        <f t="shared" si="4"/>
        <v>1.8826452429300589E-2</v>
      </c>
    </row>
    <row r="55" spans="1:12" x14ac:dyDescent="0.2">
      <c r="A55" s="21">
        <f t="shared" si="0"/>
        <v>39346</v>
      </c>
      <c r="B55" s="22">
        <v>39346</v>
      </c>
      <c r="C55" s="30">
        <v>1.54</v>
      </c>
      <c r="D55" s="28">
        <f t="shared" si="6"/>
        <v>-3.8221212820197741E-2</v>
      </c>
      <c r="E55" s="24">
        <v>3.15</v>
      </c>
      <c r="F55" s="28">
        <f t="shared" si="1"/>
        <v>1.600034134644112E-2</v>
      </c>
      <c r="G55" s="26">
        <v>100.5</v>
      </c>
      <c r="H55" s="28">
        <f t="shared" si="2"/>
        <v>1.7566323717899283E-2</v>
      </c>
      <c r="I55" s="26">
        <v>2.8159999999999998</v>
      </c>
      <c r="J55" s="29">
        <f t="shared" si="3"/>
        <v>8.5592533956699111E-3</v>
      </c>
      <c r="K55" s="5">
        <v>72.62</v>
      </c>
      <c r="L55" s="29">
        <f t="shared" si="4"/>
        <v>3.3322416659328592E-2</v>
      </c>
    </row>
    <row r="56" spans="1:12" x14ac:dyDescent="0.2">
      <c r="A56" s="21">
        <f t="shared" si="0"/>
        <v>39353</v>
      </c>
      <c r="B56" s="22">
        <v>39353</v>
      </c>
      <c r="C56" s="30">
        <v>1.52</v>
      </c>
      <c r="D56" s="28">
        <f t="shared" si="6"/>
        <v>-1.3072081567352775E-2</v>
      </c>
      <c r="E56" s="24">
        <v>3.32</v>
      </c>
      <c r="F56" s="28">
        <f t="shared" si="1"/>
        <v>5.2562330090855508E-2</v>
      </c>
      <c r="G56" s="26">
        <v>102.9</v>
      </c>
      <c r="H56" s="28">
        <f t="shared" si="2"/>
        <v>2.3599915340873506E-2</v>
      </c>
      <c r="I56" s="26">
        <v>2.7839999999999998</v>
      </c>
      <c r="J56" s="29">
        <f t="shared" si="3"/>
        <v>-1.1428695823622744E-2</v>
      </c>
      <c r="K56" s="5">
        <v>73.5</v>
      </c>
      <c r="L56" s="29">
        <f t="shared" si="4"/>
        <v>1.2045040232601298E-2</v>
      </c>
    </row>
    <row r="57" spans="1:12" x14ac:dyDescent="0.2">
      <c r="A57" s="21">
        <f t="shared" si="0"/>
        <v>39360</v>
      </c>
      <c r="B57" s="22">
        <v>39360</v>
      </c>
      <c r="C57" s="30">
        <v>1.51</v>
      </c>
      <c r="D57" s="28">
        <f t="shared" si="6"/>
        <v>-6.6006840313520242E-3</v>
      </c>
      <c r="E57" s="24">
        <v>3.12</v>
      </c>
      <c r="F57" s="28">
        <f t="shared" si="1"/>
        <v>-6.2131781107006158E-2</v>
      </c>
      <c r="G57" s="26">
        <v>107.4</v>
      </c>
      <c r="H57" s="28">
        <f t="shared" si="2"/>
        <v>4.2802539234760316E-2</v>
      </c>
      <c r="I57" s="26">
        <v>2.7610000000000001</v>
      </c>
      <c r="J57" s="29">
        <f t="shared" si="3"/>
        <v>-8.2958095241557513E-3</v>
      </c>
      <c r="K57" s="5">
        <v>73.650000000000006</v>
      </c>
      <c r="L57" s="29">
        <f t="shared" si="4"/>
        <v>2.0387366898483089E-3</v>
      </c>
    </row>
    <row r="58" spans="1:12" x14ac:dyDescent="0.2">
      <c r="A58" s="21">
        <f t="shared" si="0"/>
        <v>39367</v>
      </c>
      <c r="B58" s="22">
        <v>39367</v>
      </c>
      <c r="C58" s="30">
        <v>1.49</v>
      </c>
      <c r="D58" s="28">
        <f t="shared" si="6"/>
        <v>-1.3333530869465144E-2</v>
      </c>
      <c r="E58" s="24">
        <v>3.01</v>
      </c>
      <c r="F58" s="28">
        <f t="shared" si="1"/>
        <v>-3.5892923060606728E-2</v>
      </c>
      <c r="G58" s="26">
        <v>109.65</v>
      </c>
      <c r="H58" s="28">
        <f t="shared" si="2"/>
        <v>2.0733292789132853E-2</v>
      </c>
      <c r="I58" s="26">
        <v>2.746</v>
      </c>
      <c r="J58" s="29">
        <f t="shared" si="3"/>
        <v>-5.4476256022380669E-3</v>
      </c>
      <c r="K58" s="5">
        <v>73.39</v>
      </c>
      <c r="L58" s="29">
        <f t="shared" si="4"/>
        <v>-3.5364563516679381E-3</v>
      </c>
    </row>
    <row r="59" spans="1:12" x14ac:dyDescent="0.2">
      <c r="A59" s="21">
        <f t="shared" si="0"/>
        <v>39374</v>
      </c>
      <c r="B59" s="22">
        <v>39374</v>
      </c>
      <c r="C59" s="30">
        <v>1.5</v>
      </c>
      <c r="D59" s="28">
        <f t="shared" si="6"/>
        <v>6.6889881507967101E-3</v>
      </c>
      <c r="E59" s="24">
        <v>3.23</v>
      </c>
      <c r="F59" s="28">
        <f t="shared" si="1"/>
        <v>7.0542058473780839E-2</v>
      </c>
      <c r="G59" s="26">
        <v>115.75</v>
      </c>
      <c r="H59" s="28">
        <f t="shared" si="2"/>
        <v>5.4139218102446172E-2</v>
      </c>
      <c r="I59" s="26">
        <v>2.806</v>
      </c>
      <c r="J59" s="29">
        <f t="shared" si="3"/>
        <v>2.1614674334489836E-2</v>
      </c>
      <c r="K59" s="5">
        <v>77.84</v>
      </c>
      <c r="L59" s="29">
        <f t="shared" si="4"/>
        <v>5.8867751320778268E-2</v>
      </c>
    </row>
    <row r="60" spans="1:12" x14ac:dyDescent="0.2">
      <c r="A60" s="21">
        <f t="shared" si="0"/>
        <v>39381</v>
      </c>
      <c r="B60" s="22">
        <v>39381</v>
      </c>
      <c r="C60" s="30">
        <v>1.55</v>
      </c>
      <c r="D60" s="28">
        <f t="shared" si="6"/>
        <v>3.278982282299097E-2</v>
      </c>
      <c r="E60" s="24">
        <v>3.3</v>
      </c>
      <c r="F60" s="28">
        <f t="shared" si="1"/>
        <v>2.1440331237869408E-2</v>
      </c>
      <c r="G60" s="26">
        <v>120</v>
      </c>
      <c r="H60" s="28">
        <f t="shared" si="2"/>
        <v>3.605904981570264E-2</v>
      </c>
      <c r="I60" s="26">
        <v>2.859</v>
      </c>
      <c r="J60" s="29">
        <f t="shared" si="3"/>
        <v>1.8711931659905607E-2</v>
      </c>
      <c r="K60" s="5">
        <v>79.47</v>
      </c>
      <c r="L60" s="29">
        <f t="shared" si="4"/>
        <v>2.0724154074338294E-2</v>
      </c>
    </row>
    <row r="61" spans="1:12" x14ac:dyDescent="0.2">
      <c r="A61" s="21">
        <f t="shared" si="0"/>
        <v>39388</v>
      </c>
      <c r="B61" s="22">
        <v>39388</v>
      </c>
      <c r="C61" s="30">
        <v>1.61</v>
      </c>
      <c r="D61" s="28">
        <f t="shared" si="6"/>
        <v>3.7979248065216471E-2</v>
      </c>
      <c r="E61" s="24">
        <v>3.42</v>
      </c>
      <c r="F61" s="28">
        <f t="shared" si="1"/>
        <v>3.5718082602079246E-2</v>
      </c>
      <c r="G61" s="26">
        <v>126.1</v>
      </c>
      <c r="H61" s="28">
        <f t="shared" si="2"/>
        <v>4.9583500188827838E-2</v>
      </c>
      <c r="I61" s="26">
        <v>3.0070000000000001</v>
      </c>
      <c r="J61" s="29">
        <f t="shared" si="3"/>
        <v>5.0470990666217241E-2</v>
      </c>
      <c r="K61" s="5">
        <v>83.69</v>
      </c>
      <c r="L61" s="29">
        <f t="shared" si="4"/>
        <v>5.173990409269455E-2</v>
      </c>
    </row>
    <row r="62" spans="1:12" x14ac:dyDescent="0.2">
      <c r="A62" s="21">
        <f t="shared" si="0"/>
        <v>39395</v>
      </c>
      <c r="B62" s="22">
        <v>39395</v>
      </c>
      <c r="C62" s="30">
        <v>1.67</v>
      </c>
      <c r="D62" s="28">
        <f t="shared" si="6"/>
        <v>3.6589447432291963E-2</v>
      </c>
      <c r="E62" s="24">
        <v>3.56</v>
      </c>
      <c r="F62" s="28">
        <f t="shared" si="1"/>
        <v>4.0119993789425358E-2</v>
      </c>
      <c r="G62" s="26">
        <v>131.75</v>
      </c>
      <c r="H62" s="28">
        <f t="shared" si="2"/>
        <v>4.3830944450597896E-2</v>
      </c>
      <c r="I62" s="26">
        <v>3.101</v>
      </c>
      <c r="J62" s="29">
        <f t="shared" si="3"/>
        <v>3.078173611191979E-2</v>
      </c>
      <c r="K62" s="5">
        <v>86.88</v>
      </c>
      <c r="L62" s="29">
        <f t="shared" si="4"/>
        <v>3.7408360140842659E-2</v>
      </c>
    </row>
    <row r="63" spans="1:12" x14ac:dyDescent="0.2">
      <c r="A63" s="21">
        <f t="shared" si="0"/>
        <v>39402</v>
      </c>
      <c r="B63" s="22">
        <v>39402</v>
      </c>
      <c r="C63" s="30">
        <v>1.72</v>
      </c>
      <c r="D63" s="28">
        <f t="shared" si="6"/>
        <v>2.9500664396698056E-2</v>
      </c>
      <c r="E63" s="24">
        <v>3.57</v>
      </c>
      <c r="F63" s="28">
        <f t="shared" si="1"/>
        <v>2.8050509276084604E-3</v>
      </c>
      <c r="G63" s="26">
        <v>134.85</v>
      </c>
      <c r="H63" s="28">
        <f t="shared" si="2"/>
        <v>2.3256862164267183E-2</v>
      </c>
      <c r="I63" s="26">
        <v>3.077</v>
      </c>
      <c r="J63" s="29">
        <f t="shared" si="3"/>
        <v>-7.769543778407096E-3</v>
      </c>
      <c r="K63" s="5">
        <v>85.21</v>
      </c>
      <c r="L63" s="29">
        <f t="shared" si="4"/>
        <v>-1.9409058345760767E-2</v>
      </c>
    </row>
    <row r="64" spans="1:12" x14ac:dyDescent="0.2">
      <c r="A64" s="21">
        <f t="shared" si="0"/>
        <v>39409</v>
      </c>
      <c r="B64" s="22">
        <v>39409</v>
      </c>
      <c r="C64" s="30">
        <v>1.78</v>
      </c>
      <c r="D64" s="28">
        <f t="shared" si="6"/>
        <v>3.4289073478632165E-2</v>
      </c>
      <c r="E64" s="24">
        <v>3.62</v>
      </c>
      <c r="F64" s="28">
        <f t="shared" si="1"/>
        <v>1.390843004613215E-2</v>
      </c>
      <c r="G64" s="26">
        <v>138.5</v>
      </c>
      <c r="H64" s="28">
        <f t="shared" si="2"/>
        <v>2.6707276041654331E-2</v>
      </c>
      <c r="I64" s="26">
        <v>3.0720000000000001</v>
      </c>
      <c r="J64" s="29">
        <f t="shared" si="3"/>
        <v>-1.6262810544790309E-3</v>
      </c>
      <c r="K64" s="5">
        <v>87.93</v>
      </c>
      <c r="L64" s="29">
        <f t="shared" si="4"/>
        <v>3.1422245551046335E-2</v>
      </c>
    </row>
    <row r="65" spans="1:12" x14ac:dyDescent="0.2">
      <c r="A65" s="21">
        <f t="shared" si="0"/>
        <v>39416</v>
      </c>
      <c r="B65" s="22">
        <v>39416</v>
      </c>
      <c r="C65" s="30">
        <v>1.83</v>
      </c>
      <c r="D65" s="28">
        <f t="shared" si="6"/>
        <v>2.770260254933575E-2</v>
      </c>
      <c r="E65" s="24">
        <v>3.7</v>
      </c>
      <c r="F65" s="28">
        <f t="shared" si="1"/>
        <v>2.1858793812499017E-2</v>
      </c>
      <c r="G65" s="26">
        <v>138.85</v>
      </c>
      <c r="H65" s="28">
        <f t="shared" si="2"/>
        <v>2.5238881254154E-3</v>
      </c>
      <c r="I65" s="26">
        <v>3.0289999999999999</v>
      </c>
      <c r="J65" s="29">
        <f t="shared" si="3"/>
        <v>-1.4096283240325521E-2</v>
      </c>
      <c r="K65" s="5">
        <v>87.22</v>
      </c>
      <c r="L65" s="29">
        <f t="shared" si="4"/>
        <v>-8.1073809762904625E-3</v>
      </c>
    </row>
    <row r="66" spans="1:12" x14ac:dyDescent="0.2">
      <c r="A66" s="21">
        <f t="shared" si="0"/>
        <v>39423</v>
      </c>
      <c r="B66" s="22">
        <v>39423</v>
      </c>
      <c r="C66" s="30">
        <v>1.87</v>
      </c>
      <c r="D66" s="28">
        <f t="shared" si="6"/>
        <v>2.1622464013165709E-2</v>
      </c>
      <c r="E66" s="24">
        <v>3.79</v>
      </c>
      <c r="F66" s="28">
        <f t="shared" si="1"/>
        <v>2.4033199444156193E-2</v>
      </c>
      <c r="G66" s="26">
        <v>141</v>
      </c>
      <c r="H66" s="28">
        <f t="shared" si="2"/>
        <v>1.5365676625359811E-2</v>
      </c>
      <c r="I66" s="26">
        <v>2.9569999999999999</v>
      </c>
      <c r="J66" s="29">
        <f t="shared" si="3"/>
        <v>-2.4057291174760149E-2</v>
      </c>
      <c r="K66" s="5">
        <v>81.95</v>
      </c>
      <c r="L66" s="29">
        <f t="shared" si="4"/>
        <v>-6.23243572247816E-2</v>
      </c>
    </row>
    <row r="67" spans="1:12" x14ac:dyDescent="0.2">
      <c r="A67" s="21">
        <f t="shared" si="0"/>
        <v>39430</v>
      </c>
      <c r="B67" s="22">
        <v>39430</v>
      </c>
      <c r="C67" s="30">
        <v>1.87</v>
      </c>
      <c r="D67" s="28">
        <f t="shared" si="6"/>
        <v>0</v>
      </c>
      <c r="E67" s="24">
        <v>3.99</v>
      </c>
      <c r="F67" s="28">
        <f t="shared" si="1"/>
        <v>5.1425211807437185E-2</v>
      </c>
      <c r="G67" s="26">
        <v>144.69999999999999</v>
      </c>
      <c r="H67" s="28">
        <f t="shared" si="2"/>
        <v>2.5902743259269882E-2</v>
      </c>
      <c r="I67" s="26">
        <v>2.9620000000000002</v>
      </c>
      <c r="J67" s="29">
        <f t="shared" si="3"/>
        <v>1.689474975266979E-3</v>
      </c>
      <c r="K67" s="5">
        <v>82.44</v>
      </c>
      <c r="L67" s="29">
        <f t="shared" si="4"/>
        <v>5.9614508324194833E-3</v>
      </c>
    </row>
    <row r="68" spans="1:12" x14ac:dyDescent="0.2">
      <c r="A68" s="21">
        <f t="shared" si="0"/>
        <v>39437</v>
      </c>
      <c r="B68" s="22">
        <v>39437</v>
      </c>
      <c r="C68" s="30">
        <v>1.97</v>
      </c>
      <c r="D68" s="28">
        <f t="shared" si="6"/>
        <v>5.2095111883401872E-2</v>
      </c>
      <c r="E68" s="24">
        <v>4.0999999999999996</v>
      </c>
      <c r="F68" s="28">
        <f t="shared" si="1"/>
        <v>2.7195742808489867E-2</v>
      </c>
      <c r="G68" s="26">
        <v>150.69999999999999</v>
      </c>
      <c r="H68" s="28">
        <f t="shared" si="2"/>
        <v>4.062847199501151E-2</v>
      </c>
      <c r="I68" s="26">
        <v>2.9430000000000001</v>
      </c>
      <c r="J68" s="29">
        <f t="shared" si="3"/>
        <v>-6.4352465942713339E-3</v>
      </c>
      <c r="K68" s="5">
        <v>83.41</v>
      </c>
      <c r="L68" s="29">
        <f t="shared" si="4"/>
        <v>1.1697450231262061E-2</v>
      </c>
    </row>
    <row r="69" spans="1:12" ht="15" x14ac:dyDescent="0.25">
      <c r="A69" s="31">
        <f t="shared" si="0"/>
        <v>39444</v>
      </c>
      <c r="B69" s="36">
        <v>39444</v>
      </c>
      <c r="C69" s="37">
        <v>2.1</v>
      </c>
      <c r="D69" s="28">
        <f t="shared" si="6"/>
        <v>6.3903801979480257E-2</v>
      </c>
      <c r="E69" s="38">
        <v>4.24</v>
      </c>
      <c r="F69" s="28">
        <f t="shared" si="1"/>
        <v>3.3576295533604521E-2</v>
      </c>
      <c r="G69" s="39">
        <v>157.83000000000001</v>
      </c>
      <c r="H69" s="28">
        <f t="shared" si="2"/>
        <v>4.6227398778375825E-2</v>
      </c>
      <c r="I69" s="26">
        <v>3.028</v>
      </c>
      <c r="J69" s="29">
        <f t="shared" si="3"/>
        <v>2.8472866323866659E-2</v>
      </c>
      <c r="K69" s="5">
        <v>85.52</v>
      </c>
      <c r="L69" s="29">
        <f t="shared" si="4"/>
        <v>2.4982060463269312E-2</v>
      </c>
    </row>
    <row r="70" spans="1:12" x14ac:dyDescent="0.2">
      <c r="A70" s="21">
        <f t="shared" ref="A70:A133" si="7">B70</f>
        <v>39451</v>
      </c>
      <c r="B70" s="22">
        <v>39451</v>
      </c>
      <c r="C70" s="30">
        <v>2.15</v>
      </c>
      <c r="D70" s="28">
        <f t="shared" si="6"/>
        <v>2.3530497410194036E-2</v>
      </c>
      <c r="E70" s="24">
        <v>4.33</v>
      </c>
      <c r="F70" s="28">
        <f t="shared" si="1"/>
        <v>2.1004272770531997E-2</v>
      </c>
      <c r="G70" s="26">
        <v>163.81</v>
      </c>
      <c r="H70" s="28">
        <f t="shared" si="2"/>
        <v>3.7188715205714457E-2</v>
      </c>
      <c r="I70" s="26">
        <v>3.0880000000000001</v>
      </c>
      <c r="J70" s="29">
        <f t="shared" si="3"/>
        <v>1.9621296587327312E-2</v>
      </c>
      <c r="K70" s="5">
        <v>88.41</v>
      </c>
      <c r="L70" s="29">
        <f t="shared" si="4"/>
        <v>3.323481870092318E-2</v>
      </c>
    </row>
    <row r="71" spans="1:12" x14ac:dyDescent="0.2">
      <c r="A71" s="21">
        <f t="shared" si="7"/>
        <v>39458</v>
      </c>
      <c r="B71" s="22">
        <v>39458</v>
      </c>
      <c r="C71" s="30">
        <v>2.2400000000000002</v>
      </c>
      <c r="D71" s="28">
        <f t="shared" si="6"/>
        <v>4.1008023727377253E-2</v>
      </c>
      <c r="E71" s="24">
        <v>4.4400000000000004</v>
      </c>
      <c r="F71" s="28">
        <f t="shared" ref="F71:F134" si="8">LN(E71/E70)</f>
        <v>2.5086834429734882E-2</v>
      </c>
      <c r="G71" s="26">
        <v>172.1</v>
      </c>
      <c r="H71" s="28">
        <f t="shared" ref="H71:H134" si="9">LN(G71/G70)</f>
        <v>4.9368483600953715E-2</v>
      </c>
      <c r="I71" s="26">
        <v>3.0409999999999999</v>
      </c>
      <c r="J71" s="29">
        <f t="shared" ref="J71:J134" si="10">LN(I71/I70)</f>
        <v>-1.5337223467302199E-2</v>
      </c>
      <c r="K71" s="5">
        <v>89.6</v>
      </c>
      <c r="L71" s="29">
        <f t="shared" ref="L71:L134" si="11">LN(K71/K70)</f>
        <v>1.3370234563171639E-2</v>
      </c>
    </row>
    <row r="72" spans="1:12" x14ac:dyDescent="0.2">
      <c r="A72" s="21">
        <f t="shared" si="7"/>
        <v>39465</v>
      </c>
      <c r="B72" s="22">
        <v>39465</v>
      </c>
      <c r="C72" s="30">
        <v>2.17</v>
      </c>
      <c r="D72" s="28">
        <f t="shared" si="6"/>
        <v>-3.1748698314580416E-2</v>
      </c>
      <c r="E72" s="24">
        <v>4.7</v>
      </c>
      <c r="F72" s="28">
        <f t="shared" si="8"/>
        <v>5.6908132271879373E-2</v>
      </c>
      <c r="G72" s="26">
        <v>182.5</v>
      </c>
      <c r="H72" s="28">
        <f t="shared" si="9"/>
        <v>5.8674469805052559E-2</v>
      </c>
      <c r="I72" s="26">
        <v>2.9910000000000001</v>
      </c>
      <c r="J72" s="29">
        <f t="shared" si="10"/>
        <v>-1.657862904741652E-2</v>
      </c>
      <c r="K72" s="5">
        <v>85.36</v>
      </c>
      <c r="L72" s="29">
        <f t="shared" si="11"/>
        <v>-4.8477712987386803E-2</v>
      </c>
    </row>
    <row r="73" spans="1:12" x14ac:dyDescent="0.2">
      <c r="A73" s="21">
        <f t="shared" si="7"/>
        <v>39472</v>
      </c>
      <c r="B73" s="22">
        <v>39472</v>
      </c>
      <c r="C73" s="30">
        <v>2.17</v>
      </c>
      <c r="D73" s="28">
        <f t="shared" si="6"/>
        <v>0</v>
      </c>
      <c r="E73" s="24">
        <v>4.55</v>
      </c>
      <c r="F73" s="28">
        <f t="shared" si="8"/>
        <v>-3.2435275753153962E-2</v>
      </c>
      <c r="G73" s="26">
        <v>178.25</v>
      </c>
      <c r="H73" s="28">
        <f t="shared" si="9"/>
        <v>-2.3563113728140836E-2</v>
      </c>
      <c r="I73" s="26">
        <v>2.9529999999999998</v>
      </c>
      <c r="J73" s="29">
        <f t="shared" si="10"/>
        <v>-1.2786176886025454E-2</v>
      </c>
      <c r="K73" s="5">
        <v>82.66</v>
      </c>
      <c r="L73" s="29">
        <f t="shared" si="11"/>
        <v>-3.2141797909911646E-2</v>
      </c>
    </row>
    <row r="74" spans="1:12" x14ac:dyDescent="0.2">
      <c r="A74" s="21">
        <f t="shared" si="7"/>
        <v>39479</v>
      </c>
      <c r="B74" s="22">
        <v>39479</v>
      </c>
      <c r="C74" s="30">
        <v>2.17</v>
      </c>
      <c r="D74" s="28">
        <f t="shared" ref="D74:D137" si="12">LN(C74/C73)</f>
        <v>0</v>
      </c>
      <c r="E74" s="24">
        <v>4.71</v>
      </c>
      <c r="F74" s="28">
        <f t="shared" si="8"/>
        <v>3.4560675065467429E-2</v>
      </c>
      <c r="G74" s="26">
        <v>175.5</v>
      </c>
      <c r="H74" s="28">
        <f t="shared" si="9"/>
        <v>-1.5548016388484789E-2</v>
      </c>
      <c r="I74" s="26">
        <v>2.9660000000000002</v>
      </c>
      <c r="J74" s="29">
        <f t="shared" si="10"/>
        <v>4.3926409539548619E-3</v>
      </c>
      <c r="K74" s="5">
        <v>85.36</v>
      </c>
      <c r="L74" s="29">
        <f t="shared" si="11"/>
        <v>3.2141797909911569E-2</v>
      </c>
    </row>
    <row r="75" spans="1:12" x14ac:dyDescent="0.2">
      <c r="A75" s="21">
        <f t="shared" si="7"/>
        <v>39486</v>
      </c>
      <c r="B75" s="22">
        <v>39486</v>
      </c>
      <c r="C75" s="30">
        <v>2.13</v>
      </c>
      <c r="D75" s="28">
        <f t="shared" si="12"/>
        <v>-1.8605187831034469E-2</v>
      </c>
      <c r="E75" s="24">
        <v>4.8</v>
      </c>
      <c r="F75" s="28">
        <f t="shared" si="8"/>
        <v>1.8928009885518859E-2</v>
      </c>
      <c r="G75" s="26">
        <v>170.75</v>
      </c>
      <c r="H75" s="28">
        <f t="shared" si="9"/>
        <v>-2.743854445502111E-2</v>
      </c>
      <c r="I75" s="26">
        <v>2.9470000000000001</v>
      </c>
      <c r="J75" s="29">
        <f t="shared" si="10"/>
        <v>-6.4265399601827235E-3</v>
      </c>
      <c r="K75" s="5">
        <v>83.21</v>
      </c>
      <c r="L75" s="29">
        <f t="shared" si="11"/>
        <v>-2.5510074081159444E-2</v>
      </c>
    </row>
    <row r="76" spans="1:12" x14ac:dyDescent="0.2">
      <c r="A76" s="21">
        <f t="shared" si="7"/>
        <v>39493</v>
      </c>
      <c r="B76" s="22">
        <v>39493</v>
      </c>
      <c r="C76" s="30">
        <v>2.08</v>
      </c>
      <c r="D76" s="28">
        <f t="shared" si="12"/>
        <v>-2.375408600810703E-2</v>
      </c>
      <c r="E76" s="24">
        <v>4.8099999999999996</v>
      </c>
      <c r="F76" s="28">
        <f t="shared" si="8"/>
        <v>2.0811662038244493E-3</v>
      </c>
      <c r="G76" s="26">
        <v>163.25</v>
      </c>
      <c r="H76" s="28">
        <f t="shared" si="9"/>
        <v>-4.4917730294358943E-2</v>
      </c>
      <c r="I76" s="26">
        <v>3.0350000000000001</v>
      </c>
      <c r="J76" s="29">
        <f t="shared" si="10"/>
        <v>2.9423720755903857E-2</v>
      </c>
      <c r="K76" s="5">
        <v>85.5</v>
      </c>
      <c r="L76" s="29">
        <f t="shared" si="11"/>
        <v>2.7148843030376003E-2</v>
      </c>
    </row>
    <row r="77" spans="1:12" x14ac:dyDescent="0.2">
      <c r="A77" s="21">
        <f t="shared" si="7"/>
        <v>39500</v>
      </c>
      <c r="B77" s="22">
        <v>39500</v>
      </c>
      <c r="C77" s="30">
        <v>2.1</v>
      </c>
      <c r="D77" s="28">
        <f t="shared" si="12"/>
        <v>9.5694510161506725E-3</v>
      </c>
      <c r="E77" s="24">
        <v>4.9800000000000004</v>
      </c>
      <c r="F77" s="28">
        <f t="shared" si="8"/>
        <v>3.4732806918891905E-2</v>
      </c>
      <c r="G77" s="26">
        <v>157.5</v>
      </c>
      <c r="H77" s="28">
        <f t="shared" si="9"/>
        <v>-3.5857309890852639E-2</v>
      </c>
      <c r="I77" s="26">
        <v>3.1150000000000002</v>
      </c>
      <c r="J77" s="29">
        <f t="shared" si="10"/>
        <v>2.6017727727954874E-2</v>
      </c>
      <c r="K77" s="5">
        <v>89.61</v>
      </c>
      <c r="L77" s="29">
        <f t="shared" si="11"/>
        <v>4.6950544953413477E-2</v>
      </c>
    </row>
    <row r="78" spans="1:12" x14ac:dyDescent="0.2">
      <c r="A78" s="21">
        <f t="shared" si="7"/>
        <v>39507</v>
      </c>
      <c r="B78" s="22">
        <v>39507</v>
      </c>
      <c r="C78" s="30">
        <v>2.2000000000000002</v>
      </c>
      <c r="D78" s="28">
        <f t="shared" si="12"/>
        <v>4.6520015634892907E-2</v>
      </c>
      <c r="E78" s="24">
        <v>5.07</v>
      </c>
      <c r="F78" s="28">
        <f t="shared" si="8"/>
        <v>1.7910926566530243E-2</v>
      </c>
      <c r="G78" s="26">
        <v>158.9</v>
      </c>
      <c r="H78" s="28">
        <f t="shared" si="9"/>
        <v>8.8496152769826E-3</v>
      </c>
      <c r="I78" s="26">
        <v>3.137</v>
      </c>
      <c r="J78" s="29">
        <f t="shared" si="10"/>
        <v>7.0377769691245791E-3</v>
      </c>
      <c r="K78" s="5">
        <v>91.74</v>
      </c>
      <c r="L78" s="29">
        <f t="shared" si="11"/>
        <v>2.3491568272897719E-2</v>
      </c>
    </row>
    <row r="79" spans="1:12" x14ac:dyDescent="0.2">
      <c r="A79" s="21">
        <f t="shared" si="7"/>
        <v>39514</v>
      </c>
      <c r="B79" s="22">
        <v>39514</v>
      </c>
      <c r="C79" s="30">
        <v>2.27</v>
      </c>
      <c r="D79" s="28">
        <f t="shared" si="12"/>
        <v>3.1322471129041067E-2</v>
      </c>
      <c r="E79" s="24">
        <v>5.29</v>
      </c>
      <c r="F79" s="28">
        <f t="shared" si="8"/>
        <v>4.2477428267116216E-2</v>
      </c>
      <c r="G79" s="26">
        <v>160</v>
      </c>
      <c r="H79" s="28">
        <f t="shared" si="9"/>
        <v>6.8987416911565217E-3</v>
      </c>
      <c r="I79" s="26">
        <v>3.2</v>
      </c>
      <c r="J79" s="29">
        <f t="shared" si="10"/>
        <v>1.9883880597139834E-2</v>
      </c>
      <c r="K79" s="5">
        <v>95.15</v>
      </c>
      <c r="L79" s="29">
        <f t="shared" si="11"/>
        <v>3.6496104573132772E-2</v>
      </c>
    </row>
    <row r="80" spans="1:12" x14ac:dyDescent="0.2">
      <c r="A80" s="21">
        <f t="shared" si="7"/>
        <v>39521</v>
      </c>
      <c r="B80" s="22">
        <v>39521</v>
      </c>
      <c r="C80" s="30">
        <v>2.31</v>
      </c>
      <c r="D80" s="28">
        <f t="shared" si="12"/>
        <v>1.746769304039078E-2</v>
      </c>
      <c r="E80" s="24">
        <v>5.31</v>
      </c>
      <c r="F80" s="28">
        <f t="shared" si="8"/>
        <v>3.7735893836392666E-3</v>
      </c>
      <c r="G80" s="26">
        <v>161</v>
      </c>
      <c r="H80" s="28">
        <f t="shared" si="9"/>
        <v>6.2305497506361628E-3</v>
      </c>
      <c r="I80" s="26">
        <v>3.2570000000000001</v>
      </c>
      <c r="J80" s="29">
        <f t="shared" si="10"/>
        <v>1.7655716488415584E-2</v>
      </c>
      <c r="K80" s="5">
        <v>99.76</v>
      </c>
      <c r="L80" s="29">
        <f t="shared" si="11"/>
        <v>4.7312707629622495E-2</v>
      </c>
    </row>
    <row r="81" spans="1:12" x14ac:dyDescent="0.2">
      <c r="A81" s="21">
        <f t="shared" si="7"/>
        <v>39528</v>
      </c>
      <c r="B81" s="22">
        <v>39528</v>
      </c>
      <c r="C81" s="30">
        <v>2.35</v>
      </c>
      <c r="D81" s="28">
        <f t="shared" si="12"/>
        <v>1.7167803622365498E-2</v>
      </c>
      <c r="E81" s="24">
        <v>5.03</v>
      </c>
      <c r="F81" s="28">
        <f t="shared" si="8"/>
        <v>-5.4171851142199502E-2</v>
      </c>
      <c r="G81" s="26">
        <v>162</v>
      </c>
      <c r="H81" s="28">
        <f t="shared" si="9"/>
        <v>6.1919702479209804E-3</v>
      </c>
      <c r="I81" s="26">
        <v>3.2240000000000002</v>
      </c>
      <c r="J81" s="29">
        <f t="shared" si="10"/>
        <v>-1.0183701649714509E-2</v>
      </c>
      <c r="K81" s="5">
        <v>99.67</v>
      </c>
      <c r="L81" s="29">
        <f t="shared" si="11"/>
        <v>-9.0257239241619441E-4</v>
      </c>
    </row>
    <row r="82" spans="1:12" x14ac:dyDescent="0.2">
      <c r="A82" s="21">
        <f t="shared" si="7"/>
        <v>39535</v>
      </c>
      <c r="B82" s="22">
        <v>39535</v>
      </c>
      <c r="C82" s="30">
        <v>2.33</v>
      </c>
      <c r="D82" s="28">
        <f t="shared" si="12"/>
        <v>-8.5470605784584083E-3</v>
      </c>
      <c r="E82" s="24">
        <v>5.05</v>
      </c>
      <c r="F82" s="28">
        <f t="shared" si="8"/>
        <v>3.9682591756204488E-3</v>
      </c>
      <c r="G82" s="26">
        <v>161.75</v>
      </c>
      <c r="H82" s="28">
        <f t="shared" si="9"/>
        <v>-1.5444018513741361E-3</v>
      </c>
      <c r="I82" s="26">
        <v>3.2589999999999999</v>
      </c>
      <c r="J82" s="29">
        <f t="shared" si="10"/>
        <v>1.0797575211042444E-2</v>
      </c>
      <c r="K82" s="5">
        <v>96.65</v>
      </c>
      <c r="L82" s="29">
        <f t="shared" si="11"/>
        <v>-3.076852332502486E-2</v>
      </c>
    </row>
    <row r="83" spans="1:12" x14ac:dyDescent="0.2">
      <c r="A83" s="21">
        <f t="shared" si="7"/>
        <v>39542</v>
      </c>
      <c r="B83" s="22">
        <v>39542</v>
      </c>
      <c r="C83" s="30">
        <v>2.37</v>
      </c>
      <c r="D83" s="28">
        <f t="shared" si="12"/>
        <v>1.7021687569430743E-2</v>
      </c>
      <c r="E83" s="24">
        <v>5.49</v>
      </c>
      <c r="F83" s="28">
        <f t="shared" si="8"/>
        <v>8.3540012234170874E-2</v>
      </c>
      <c r="G83" s="26">
        <v>166.7</v>
      </c>
      <c r="H83" s="28">
        <f t="shared" si="9"/>
        <v>3.0143856375738239E-2</v>
      </c>
      <c r="I83" s="26">
        <v>3.2989999999999999</v>
      </c>
      <c r="J83" s="29">
        <f t="shared" si="10"/>
        <v>1.2198992391019995E-2</v>
      </c>
      <c r="K83" s="5">
        <v>95.56</v>
      </c>
      <c r="L83" s="29">
        <f t="shared" si="11"/>
        <v>-1.134188319673118E-2</v>
      </c>
    </row>
    <row r="84" spans="1:12" x14ac:dyDescent="0.2">
      <c r="A84" s="21">
        <f t="shared" si="7"/>
        <v>39549</v>
      </c>
      <c r="B84" s="22">
        <v>39549</v>
      </c>
      <c r="C84" s="30">
        <v>2.44</v>
      </c>
      <c r="D84" s="28">
        <f t="shared" si="12"/>
        <v>2.9108084158070549E-2</v>
      </c>
      <c r="E84" s="24">
        <v>5.61</v>
      </c>
      <c r="F84" s="28">
        <f t="shared" si="8"/>
        <v>2.1622464013165709E-2</v>
      </c>
      <c r="G84" s="26">
        <v>168.4</v>
      </c>
      <c r="H84" s="28">
        <f t="shared" si="9"/>
        <v>1.0146312051478154E-2</v>
      </c>
      <c r="I84" s="26">
        <v>3.35</v>
      </c>
      <c r="J84" s="29">
        <f t="shared" si="10"/>
        <v>1.5340953590530655E-2</v>
      </c>
      <c r="K84" s="5">
        <v>101.22</v>
      </c>
      <c r="L84" s="29">
        <f t="shared" si="11"/>
        <v>5.7542043328323036E-2</v>
      </c>
    </row>
    <row r="85" spans="1:12" x14ac:dyDescent="0.2">
      <c r="A85" s="21">
        <f t="shared" si="7"/>
        <v>39556</v>
      </c>
      <c r="B85" s="22">
        <v>39556</v>
      </c>
      <c r="C85" s="30">
        <v>2.46</v>
      </c>
      <c r="D85" s="28">
        <f t="shared" si="12"/>
        <v>8.1633106391608354E-3</v>
      </c>
      <c r="E85" s="24">
        <v>5.62</v>
      </c>
      <c r="F85" s="28">
        <f t="shared" si="8"/>
        <v>1.780944370994692E-3</v>
      </c>
      <c r="G85" s="26">
        <v>169.2</v>
      </c>
      <c r="H85" s="28">
        <f t="shared" si="9"/>
        <v>4.7393453638963469E-3</v>
      </c>
      <c r="I85" s="26">
        <v>3.4670000000000001</v>
      </c>
      <c r="J85" s="29">
        <f t="shared" si="10"/>
        <v>3.4329320865911374E-2</v>
      </c>
      <c r="K85" s="5">
        <v>105.27</v>
      </c>
      <c r="L85" s="29">
        <f t="shared" si="11"/>
        <v>3.923211247730158E-2</v>
      </c>
    </row>
    <row r="86" spans="1:12" x14ac:dyDescent="0.2">
      <c r="A86" s="21">
        <f t="shared" si="7"/>
        <v>39563</v>
      </c>
      <c r="B86" s="22">
        <v>39563</v>
      </c>
      <c r="C86" s="30">
        <v>2.5</v>
      </c>
      <c r="D86" s="28">
        <f t="shared" si="12"/>
        <v>1.6129381929883717E-2</v>
      </c>
      <c r="E86" s="24">
        <v>5.58</v>
      </c>
      <c r="F86" s="28">
        <f t="shared" si="8"/>
        <v>-7.1428875123801137E-3</v>
      </c>
      <c r="G86" s="26">
        <v>172</v>
      </c>
      <c r="H86" s="28">
        <f t="shared" si="9"/>
        <v>1.6413029641330269E-2</v>
      </c>
      <c r="I86" s="26">
        <v>3.5659999999999998</v>
      </c>
      <c r="J86" s="29">
        <f t="shared" si="10"/>
        <v>2.8154852738062223E-2</v>
      </c>
      <c r="K86" s="5">
        <v>109.25</v>
      </c>
      <c r="L86" s="29">
        <f t="shared" si="11"/>
        <v>3.7110355712466063E-2</v>
      </c>
    </row>
    <row r="87" spans="1:12" x14ac:dyDescent="0.2">
      <c r="A87" s="21">
        <f t="shared" si="7"/>
        <v>39570</v>
      </c>
      <c r="B87" s="22">
        <v>39570</v>
      </c>
      <c r="C87" s="30">
        <v>2.5099999999999998</v>
      </c>
      <c r="D87" s="28">
        <f t="shared" si="12"/>
        <v>3.9920212695374567E-3</v>
      </c>
      <c r="E87" s="24">
        <v>5.64</v>
      </c>
      <c r="F87" s="28">
        <f t="shared" si="8"/>
        <v>1.069528911674795E-2</v>
      </c>
      <c r="G87" s="26">
        <v>172.1</v>
      </c>
      <c r="H87" s="28">
        <f t="shared" si="9"/>
        <v>5.8122640404064882E-4</v>
      </c>
      <c r="I87" s="26">
        <v>3.5710000000000002</v>
      </c>
      <c r="J87" s="29">
        <f t="shared" si="10"/>
        <v>1.4011491713627833E-3</v>
      </c>
      <c r="K87" s="5">
        <v>108.98</v>
      </c>
      <c r="L87" s="29">
        <f t="shared" si="11"/>
        <v>-2.4744548207472471E-3</v>
      </c>
    </row>
    <row r="88" spans="1:12" x14ac:dyDescent="0.2">
      <c r="A88" s="21">
        <f t="shared" si="7"/>
        <v>39577</v>
      </c>
      <c r="B88" s="22">
        <v>39577</v>
      </c>
      <c r="C88" s="30">
        <v>2.4900000000000002</v>
      </c>
      <c r="D88" s="28">
        <f t="shared" si="12"/>
        <v>-8.0000426670761519E-3</v>
      </c>
      <c r="E88" s="24">
        <v>5.7</v>
      </c>
      <c r="F88" s="28">
        <f t="shared" si="8"/>
        <v>1.0582109330537008E-2</v>
      </c>
      <c r="G88" s="26">
        <v>172</v>
      </c>
      <c r="H88" s="28">
        <f t="shared" si="9"/>
        <v>-5.812264040406975E-4</v>
      </c>
      <c r="I88" s="26">
        <v>3.694</v>
      </c>
      <c r="J88" s="29">
        <f t="shared" si="10"/>
        <v>3.3864213164736805E-2</v>
      </c>
      <c r="K88" s="5">
        <v>112.96</v>
      </c>
      <c r="L88" s="29">
        <f t="shared" si="11"/>
        <v>3.5869394589979467E-2</v>
      </c>
    </row>
    <row r="89" spans="1:12" x14ac:dyDescent="0.2">
      <c r="A89" s="21">
        <f t="shared" si="7"/>
        <v>39584</v>
      </c>
      <c r="B89" s="22">
        <v>39584</v>
      </c>
      <c r="C89" s="30">
        <v>2.4900000000000002</v>
      </c>
      <c r="D89" s="28">
        <f t="shared" si="12"/>
        <v>0</v>
      </c>
      <c r="E89" s="24">
        <v>5.67</v>
      </c>
      <c r="F89" s="28">
        <f t="shared" si="8"/>
        <v>-5.2770571008437812E-3</v>
      </c>
      <c r="G89" s="26">
        <v>173.7</v>
      </c>
      <c r="H89" s="28">
        <f t="shared" si="9"/>
        <v>9.835196433606138E-3</v>
      </c>
      <c r="I89" s="26">
        <v>3.762</v>
      </c>
      <c r="J89" s="29">
        <f t="shared" si="10"/>
        <v>1.8240849101790364E-2</v>
      </c>
      <c r="K89" s="5">
        <v>116.32</v>
      </c>
      <c r="L89" s="29">
        <f t="shared" si="11"/>
        <v>2.9311240040277207E-2</v>
      </c>
    </row>
    <row r="90" spans="1:12" x14ac:dyDescent="0.2">
      <c r="A90" s="21">
        <f t="shared" si="7"/>
        <v>39591</v>
      </c>
      <c r="B90" s="22">
        <v>39591</v>
      </c>
      <c r="C90" s="30">
        <v>2.4900000000000002</v>
      </c>
      <c r="D90" s="28">
        <f t="shared" si="12"/>
        <v>0</v>
      </c>
      <c r="E90" s="24">
        <v>5.52</v>
      </c>
      <c r="F90" s="28">
        <f t="shared" si="8"/>
        <v>-2.6811257450656815E-2</v>
      </c>
      <c r="G90" s="26">
        <v>174.9</v>
      </c>
      <c r="H90" s="28">
        <f t="shared" si="9"/>
        <v>6.8847087774972331E-3</v>
      </c>
      <c r="I90" s="26">
        <v>3.9129999999999998</v>
      </c>
      <c r="J90" s="29">
        <f t="shared" si="10"/>
        <v>3.9353612349436795E-2</v>
      </c>
      <c r="K90" s="5">
        <v>120.16</v>
      </c>
      <c r="L90" s="29">
        <f t="shared" si="11"/>
        <v>3.2479174230615304E-2</v>
      </c>
    </row>
    <row r="91" spans="1:12" x14ac:dyDescent="0.2">
      <c r="A91" s="21">
        <f t="shared" si="7"/>
        <v>39598</v>
      </c>
      <c r="B91" s="22">
        <v>39598</v>
      </c>
      <c r="C91" s="30">
        <v>2.48</v>
      </c>
      <c r="D91" s="28">
        <f t="shared" si="12"/>
        <v>-4.0241502997254907E-3</v>
      </c>
      <c r="E91" s="24">
        <v>5.51</v>
      </c>
      <c r="F91" s="28">
        <f t="shared" si="8"/>
        <v>-1.8132371241808313E-3</v>
      </c>
      <c r="G91" s="26">
        <v>174.38</v>
      </c>
      <c r="H91" s="28">
        <f t="shared" si="9"/>
        <v>-2.9775560248874442E-3</v>
      </c>
      <c r="I91" s="26">
        <v>3.9319999999999999</v>
      </c>
      <c r="J91" s="29">
        <f t="shared" si="10"/>
        <v>4.8438590566448484E-3</v>
      </c>
      <c r="K91" s="5">
        <v>121.92</v>
      </c>
      <c r="L91" s="29">
        <f t="shared" si="11"/>
        <v>1.4540903922511655E-2</v>
      </c>
    </row>
    <row r="92" spans="1:12" x14ac:dyDescent="0.2">
      <c r="A92" s="21">
        <f t="shared" si="7"/>
        <v>39605</v>
      </c>
      <c r="B92" s="22">
        <v>39605</v>
      </c>
      <c r="C92" s="30">
        <v>2.4300000000000002</v>
      </c>
      <c r="D92" s="28">
        <f t="shared" si="12"/>
        <v>-2.0367302824433699E-2</v>
      </c>
      <c r="E92" s="24">
        <v>5.77</v>
      </c>
      <c r="F92" s="28">
        <f t="shared" si="8"/>
        <v>4.6107457355185094E-2</v>
      </c>
      <c r="G92" s="26">
        <v>172.9</v>
      </c>
      <c r="H92" s="28">
        <f t="shared" si="9"/>
        <v>-8.5234333104241018E-3</v>
      </c>
      <c r="I92" s="26">
        <v>3.9790000000000001</v>
      </c>
      <c r="J92" s="29">
        <f t="shared" si="10"/>
        <v>1.1882329159871589E-2</v>
      </c>
      <c r="K92" s="5">
        <v>117.82</v>
      </c>
      <c r="L92" s="29">
        <f t="shared" si="11"/>
        <v>-3.420705584479488E-2</v>
      </c>
    </row>
    <row r="93" spans="1:12" x14ac:dyDescent="0.2">
      <c r="A93" s="21">
        <f t="shared" si="7"/>
        <v>39612</v>
      </c>
      <c r="B93" s="22">
        <v>39612</v>
      </c>
      <c r="C93" s="30">
        <v>2.36</v>
      </c>
      <c r="D93" s="28">
        <f t="shared" si="12"/>
        <v>-2.922963831493848E-2</v>
      </c>
      <c r="E93" s="24">
        <v>6.36</v>
      </c>
      <c r="F93" s="28">
        <f t="shared" si="8"/>
        <v>9.7356296832022807E-2</v>
      </c>
      <c r="G93" s="26">
        <v>173.05</v>
      </c>
      <c r="H93" s="28">
        <f t="shared" si="9"/>
        <v>8.6717739210847395E-4</v>
      </c>
      <c r="I93" s="26">
        <v>4.0069999999999997</v>
      </c>
      <c r="J93" s="29">
        <f t="shared" si="10"/>
        <v>7.0123002092157324E-3</v>
      </c>
      <c r="K93" s="5">
        <v>125.28</v>
      </c>
      <c r="L93" s="29">
        <f t="shared" si="11"/>
        <v>6.1393196148951792E-2</v>
      </c>
    </row>
    <row r="94" spans="1:12" x14ac:dyDescent="0.2">
      <c r="A94" s="21">
        <f t="shared" si="7"/>
        <v>39619</v>
      </c>
      <c r="B94" s="22">
        <v>39619</v>
      </c>
      <c r="C94" s="30">
        <v>2.5499999999999998</v>
      </c>
      <c r="D94" s="28">
        <f t="shared" si="12"/>
        <v>7.743174013281609E-2</v>
      </c>
      <c r="E94" s="24">
        <v>6.82</v>
      </c>
      <c r="F94" s="28">
        <f t="shared" si="8"/>
        <v>6.9831094503340047E-2</v>
      </c>
      <c r="G94" s="26">
        <v>188</v>
      </c>
      <c r="H94" s="28">
        <f t="shared" si="9"/>
        <v>8.2861392748595927E-2</v>
      </c>
      <c r="I94" s="26">
        <v>4.0019999999999998</v>
      </c>
      <c r="J94" s="29">
        <f t="shared" si="10"/>
        <v>-1.2485954924657972E-3</v>
      </c>
      <c r="K94" s="5">
        <v>125.93</v>
      </c>
      <c r="L94" s="29">
        <f t="shared" si="11"/>
        <v>5.1749647752620488E-3</v>
      </c>
    </row>
    <row r="95" spans="1:12" x14ac:dyDescent="0.2">
      <c r="A95" s="21">
        <f t="shared" si="7"/>
        <v>39626</v>
      </c>
      <c r="B95" s="22">
        <v>39626</v>
      </c>
      <c r="C95" s="30">
        <v>2.75</v>
      </c>
      <c r="D95" s="28">
        <f t="shared" si="12"/>
        <v>7.5507552508145295E-2</v>
      </c>
      <c r="E95" s="24">
        <v>6.74</v>
      </c>
      <c r="F95" s="28">
        <f t="shared" si="8"/>
        <v>-1.1799546931155055E-2</v>
      </c>
      <c r="G95" s="26">
        <v>192.5</v>
      </c>
      <c r="H95" s="28">
        <f t="shared" si="9"/>
        <v>2.365419089788981E-2</v>
      </c>
      <c r="I95" s="26">
        <v>4.0270000000000001</v>
      </c>
      <c r="J95" s="29">
        <f t="shared" si="10"/>
        <v>6.2274457077754908E-3</v>
      </c>
      <c r="K95" s="5">
        <v>128.02000000000001</v>
      </c>
      <c r="L95" s="29">
        <f t="shared" si="11"/>
        <v>1.646030469610239E-2</v>
      </c>
    </row>
    <row r="96" spans="1:12" x14ac:dyDescent="0.2">
      <c r="A96" s="21">
        <f t="shared" si="7"/>
        <v>39633</v>
      </c>
      <c r="B96" s="22">
        <v>39633</v>
      </c>
      <c r="C96" s="30">
        <v>2.8</v>
      </c>
      <c r="D96" s="28">
        <f t="shared" si="12"/>
        <v>1.8018505502678212E-2</v>
      </c>
      <c r="E96" s="24">
        <v>6.84</v>
      </c>
      <c r="F96" s="28">
        <f t="shared" si="8"/>
        <v>1.4727806710243386E-2</v>
      </c>
      <c r="G96" s="26">
        <v>196.25</v>
      </c>
      <c r="H96" s="28">
        <f t="shared" si="9"/>
        <v>1.9293202934678851E-2</v>
      </c>
      <c r="I96" s="26">
        <v>4.0510000000000002</v>
      </c>
      <c r="J96" s="29">
        <f t="shared" si="10"/>
        <v>5.9420823512364345E-3</v>
      </c>
      <c r="K96" s="5">
        <v>133.6</v>
      </c>
      <c r="L96" s="29">
        <f t="shared" si="11"/>
        <v>4.2663759388687959E-2</v>
      </c>
    </row>
    <row r="97" spans="1:12" x14ac:dyDescent="0.2">
      <c r="A97" s="21">
        <f t="shared" si="7"/>
        <v>39640</v>
      </c>
      <c r="B97" s="22">
        <v>39640</v>
      </c>
      <c r="C97" s="30">
        <v>2.8</v>
      </c>
      <c r="D97" s="28">
        <f t="shared" si="12"/>
        <v>0</v>
      </c>
      <c r="E97" s="24">
        <v>6.49</v>
      </c>
      <c r="F97" s="28">
        <f t="shared" si="8"/>
        <v>-5.2525200918460364E-2</v>
      </c>
      <c r="G97" s="26">
        <v>194.75</v>
      </c>
      <c r="H97" s="28">
        <f t="shared" si="9"/>
        <v>-7.6726719116601665E-3</v>
      </c>
      <c r="I97" s="26">
        <v>4.0540000000000003</v>
      </c>
      <c r="J97" s="29">
        <f t="shared" si="10"/>
        <v>7.4028380925478731E-4</v>
      </c>
      <c r="K97" s="5">
        <v>133.32</v>
      </c>
      <c r="L97" s="29">
        <f t="shared" si="11"/>
        <v>-2.0980076630064144E-3</v>
      </c>
    </row>
    <row r="98" spans="1:12" x14ac:dyDescent="0.2">
      <c r="A98" s="21">
        <f t="shared" si="7"/>
        <v>39647</v>
      </c>
      <c r="B98" s="22">
        <v>39647</v>
      </c>
      <c r="C98" s="30">
        <v>2.69</v>
      </c>
      <c r="D98" s="28">
        <f t="shared" si="12"/>
        <v>-4.0078223567410469E-2</v>
      </c>
      <c r="E98" s="24">
        <v>5.96</v>
      </c>
      <c r="F98" s="28">
        <f t="shared" si="8"/>
        <v>-8.5192049638740275E-2</v>
      </c>
      <c r="G98" s="26">
        <v>190.15</v>
      </c>
      <c r="H98" s="28">
        <f t="shared" si="9"/>
        <v>-2.3903450376588978E-2</v>
      </c>
      <c r="I98" s="26">
        <v>4.0049999999999999</v>
      </c>
      <c r="J98" s="29">
        <f t="shared" si="10"/>
        <v>-1.2160467509485852E-2</v>
      </c>
      <c r="K98" s="5">
        <v>134.44</v>
      </c>
      <c r="L98" s="29">
        <f t="shared" si="11"/>
        <v>8.3657494173661161E-3</v>
      </c>
    </row>
    <row r="99" spans="1:12" x14ac:dyDescent="0.2">
      <c r="A99" s="21">
        <f t="shared" si="7"/>
        <v>39654</v>
      </c>
      <c r="B99" s="22">
        <v>39654</v>
      </c>
      <c r="C99" s="30">
        <v>2.54</v>
      </c>
      <c r="D99" s="28">
        <f t="shared" si="12"/>
        <v>-5.7377112583302477E-2</v>
      </c>
      <c r="E99" s="24">
        <v>5.25</v>
      </c>
      <c r="F99" s="28">
        <f t="shared" si="8"/>
        <v>-0.12684240447372605</v>
      </c>
      <c r="G99" s="26">
        <v>176.3</v>
      </c>
      <c r="H99" s="28">
        <f t="shared" si="9"/>
        <v>-7.5626144970444106E-2</v>
      </c>
      <c r="I99" s="26">
        <v>3.8959999999999999</v>
      </c>
      <c r="J99" s="29">
        <f t="shared" si="10"/>
        <v>-2.7593194740033921E-2</v>
      </c>
      <c r="K99" s="5">
        <v>122.59</v>
      </c>
      <c r="L99" s="29">
        <f t="shared" si="11"/>
        <v>-9.2272548750002042E-2</v>
      </c>
    </row>
    <row r="100" spans="1:12" x14ac:dyDescent="0.2">
      <c r="A100" s="21">
        <f t="shared" si="7"/>
        <v>39661</v>
      </c>
      <c r="B100" s="22">
        <v>39661</v>
      </c>
      <c r="C100" s="30">
        <v>2.4</v>
      </c>
      <c r="D100" s="28">
        <f t="shared" si="12"/>
        <v>-5.6695343676545294E-2</v>
      </c>
      <c r="E100" s="24">
        <v>5.36</v>
      </c>
      <c r="F100" s="28">
        <f t="shared" si="8"/>
        <v>2.0735898479178342E-2</v>
      </c>
      <c r="G100" s="26">
        <v>172.5</v>
      </c>
      <c r="H100" s="28">
        <f t="shared" si="9"/>
        <v>-2.1789852932410168E-2</v>
      </c>
      <c r="I100" s="26">
        <v>3.8279999999999998</v>
      </c>
      <c r="J100" s="29">
        <f t="shared" si="10"/>
        <v>-1.7607912189580847E-2</v>
      </c>
      <c r="K100" s="5">
        <v>119.05</v>
      </c>
      <c r="L100" s="29">
        <f t="shared" si="11"/>
        <v>-2.9301881174031177E-2</v>
      </c>
    </row>
    <row r="101" spans="1:12" x14ac:dyDescent="0.2">
      <c r="A101" s="21">
        <f t="shared" si="7"/>
        <v>39668</v>
      </c>
      <c r="B101" s="22">
        <v>39668</v>
      </c>
      <c r="C101" s="30">
        <v>2.35</v>
      </c>
      <c r="D101" s="28">
        <f t="shared" si="12"/>
        <v>-2.1053409197832267E-2</v>
      </c>
      <c r="E101" s="24">
        <v>4.83</v>
      </c>
      <c r="F101" s="28">
        <f t="shared" si="8"/>
        <v>-0.10411750741822941</v>
      </c>
      <c r="G101" s="26">
        <v>162.05000000000001</v>
      </c>
      <c r="H101" s="28">
        <f t="shared" si="9"/>
        <v>-6.2492306883857991E-2</v>
      </c>
      <c r="I101" s="26">
        <v>3.7639999999999998</v>
      </c>
      <c r="J101" s="29">
        <f t="shared" si="10"/>
        <v>-1.6860251867574678E-2</v>
      </c>
      <c r="K101" s="5">
        <v>115.62</v>
      </c>
      <c r="L101" s="29">
        <f t="shared" si="11"/>
        <v>-2.923462127854165E-2</v>
      </c>
    </row>
    <row r="102" spans="1:12" x14ac:dyDescent="0.2">
      <c r="A102" s="21">
        <f t="shared" si="7"/>
        <v>39675</v>
      </c>
      <c r="B102" s="22">
        <v>39675</v>
      </c>
      <c r="C102" s="30">
        <v>2.21</v>
      </c>
      <c r="D102" s="28">
        <f t="shared" si="12"/>
        <v>-6.142281262640624E-2</v>
      </c>
      <c r="E102" s="24">
        <v>4.7699999999999996</v>
      </c>
      <c r="F102" s="28">
        <f t="shared" si="8"/>
        <v>-1.2500162764231607E-2</v>
      </c>
      <c r="G102" s="26">
        <v>151.5</v>
      </c>
      <c r="H102" s="28">
        <f t="shared" si="9"/>
        <v>-6.7319304638132585E-2</v>
      </c>
      <c r="I102" s="26">
        <v>3.706</v>
      </c>
      <c r="J102" s="29">
        <f t="shared" si="10"/>
        <v>-1.5529093859965154E-2</v>
      </c>
      <c r="K102" s="5">
        <v>108.11</v>
      </c>
      <c r="L102" s="29">
        <f t="shared" si="11"/>
        <v>-6.7159724349650091E-2</v>
      </c>
    </row>
    <row r="103" spans="1:12" x14ac:dyDescent="0.2">
      <c r="A103" s="21">
        <f t="shared" si="7"/>
        <v>39682</v>
      </c>
      <c r="B103" s="22">
        <v>39682</v>
      </c>
      <c r="C103" s="30">
        <v>2.1</v>
      </c>
      <c r="D103" s="28">
        <f t="shared" si="12"/>
        <v>-5.1055170800284065E-2</v>
      </c>
      <c r="E103" s="24">
        <v>5.21</v>
      </c>
      <c r="F103" s="28">
        <f t="shared" si="8"/>
        <v>8.8233550865025753E-2</v>
      </c>
      <c r="G103" s="26">
        <v>150.94999999999999</v>
      </c>
      <c r="H103" s="28">
        <f t="shared" si="9"/>
        <v>-3.6369687965761019E-3</v>
      </c>
      <c r="I103" s="26">
        <v>3.66</v>
      </c>
      <c r="J103" s="29">
        <f t="shared" si="10"/>
        <v>-1.2489980449893062E-2</v>
      </c>
      <c r="K103" s="5">
        <v>108.15</v>
      </c>
      <c r="L103" s="29">
        <f t="shared" si="11"/>
        <v>3.6992509438780492E-4</v>
      </c>
    </row>
    <row r="104" spans="1:12" x14ac:dyDescent="0.2">
      <c r="A104" s="21">
        <f t="shared" si="7"/>
        <v>39689</v>
      </c>
      <c r="B104" s="22">
        <v>39689</v>
      </c>
      <c r="C104" s="30">
        <v>2.21</v>
      </c>
      <c r="D104" s="28">
        <f t="shared" si="12"/>
        <v>5.1055170800284169E-2</v>
      </c>
      <c r="E104" s="24">
        <v>5.37</v>
      </c>
      <c r="F104" s="28">
        <f t="shared" si="8"/>
        <v>3.0248052755497735E-2</v>
      </c>
      <c r="G104" s="26">
        <v>150.69999999999999</v>
      </c>
      <c r="H104" s="28">
        <f t="shared" si="9"/>
        <v>-1.6575505203980791E-3</v>
      </c>
      <c r="I104" s="26">
        <v>3.6669999999999998</v>
      </c>
      <c r="J104" s="29">
        <f t="shared" si="10"/>
        <v>1.9107416759139807E-3</v>
      </c>
      <c r="K104" s="5">
        <v>110.04</v>
      </c>
      <c r="L104" s="29">
        <f t="shared" si="11"/>
        <v>1.7324783657305921E-2</v>
      </c>
    </row>
    <row r="105" spans="1:12" x14ac:dyDescent="0.2">
      <c r="A105" s="21">
        <f t="shared" si="7"/>
        <v>39696</v>
      </c>
      <c r="B105" s="22">
        <v>39696</v>
      </c>
      <c r="C105" s="30">
        <v>2.2400000000000002</v>
      </c>
      <c r="D105" s="28">
        <f t="shared" si="12"/>
        <v>1.3483350337287207E-2</v>
      </c>
      <c r="E105" s="24">
        <v>5.2</v>
      </c>
      <c r="F105" s="28">
        <f t="shared" si="8"/>
        <v>-3.216928293339167E-2</v>
      </c>
      <c r="G105" s="26">
        <v>144.69</v>
      </c>
      <c r="H105" s="28">
        <f t="shared" si="9"/>
        <v>-4.0697582883459468E-2</v>
      </c>
      <c r="I105" s="26">
        <v>3.637</v>
      </c>
      <c r="J105" s="29">
        <f t="shared" si="10"/>
        <v>-8.2147230843368831E-3</v>
      </c>
      <c r="K105" s="5">
        <v>105.26</v>
      </c>
      <c r="L105" s="29">
        <f t="shared" si="11"/>
        <v>-4.4410456130740884E-2</v>
      </c>
    </row>
    <row r="106" spans="1:12" x14ac:dyDescent="0.2">
      <c r="A106" s="21">
        <f t="shared" si="7"/>
        <v>39703</v>
      </c>
      <c r="B106" s="22">
        <v>39703</v>
      </c>
      <c r="C106" s="30">
        <v>2.17</v>
      </c>
      <c r="D106" s="28">
        <f t="shared" si="12"/>
        <v>-3.1748698314580416E-2</v>
      </c>
      <c r="E106" s="24">
        <v>4.9800000000000004</v>
      </c>
      <c r="F106" s="28">
        <f t="shared" si="8"/>
        <v>-4.3228734550820075E-2</v>
      </c>
      <c r="G106" s="26">
        <v>140.5</v>
      </c>
      <c r="H106" s="28">
        <f t="shared" si="9"/>
        <v>-2.9386033975189681E-2</v>
      </c>
      <c r="I106" s="26">
        <v>3.867</v>
      </c>
      <c r="J106" s="29">
        <f t="shared" si="10"/>
        <v>6.131984662030799E-2</v>
      </c>
      <c r="K106" s="5">
        <v>96.46</v>
      </c>
      <c r="L106" s="29">
        <f t="shared" si="11"/>
        <v>-8.7305065284807221E-2</v>
      </c>
    </row>
    <row r="107" spans="1:12" x14ac:dyDescent="0.2">
      <c r="A107" s="21">
        <f t="shared" si="7"/>
        <v>39710</v>
      </c>
      <c r="B107" s="22">
        <v>39710</v>
      </c>
      <c r="C107" s="30">
        <v>2.12</v>
      </c>
      <c r="D107" s="28">
        <f t="shared" si="12"/>
        <v>-2.3311078868446997E-2</v>
      </c>
      <c r="E107" s="24">
        <v>5.0999999999999996</v>
      </c>
      <c r="F107" s="28">
        <f t="shared" si="8"/>
        <v>2.3810648693718392E-2</v>
      </c>
      <c r="G107" s="26">
        <v>138.25</v>
      </c>
      <c r="H107" s="28">
        <f t="shared" si="9"/>
        <v>-1.6143848371356278E-2</v>
      </c>
      <c r="I107" s="26">
        <v>3.7320000000000002</v>
      </c>
      <c r="J107" s="29">
        <f t="shared" si="10"/>
        <v>-3.5534729640062587E-2</v>
      </c>
      <c r="K107" s="5">
        <v>88.73</v>
      </c>
      <c r="L107" s="29">
        <f t="shared" si="11"/>
        <v>-8.3530363793579268E-2</v>
      </c>
    </row>
    <row r="108" spans="1:12" x14ac:dyDescent="0.2">
      <c r="A108" s="21">
        <f t="shared" si="7"/>
        <v>39717</v>
      </c>
      <c r="B108" s="22">
        <v>39717</v>
      </c>
      <c r="C108" s="30">
        <v>2.1</v>
      </c>
      <c r="D108" s="28">
        <f t="shared" si="12"/>
        <v>-9.47874395454377E-3</v>
      </c>
      <c r="E108" s="24">
        <v>5.23</v>
      </c>
      <c r="F108" s="28">
        <f t="shared" si="8"/>
        <v>2.5170738346551574E-2</v>
      </c>
      <c r="G108" s="26">
        <v>141.25</v>
      </c>
      <c r="H108" s="28">
        <f t="shared" si="9"/>
        <v>2.1467729624106195E-2</v>
      </c>
      <c r="I108" s="26">
        <v>3.6440000000000001</v>
      </c>
      <c r="J108" s="29">
        <f t="shared" si="10"/>
        <v>-2.3862303587385565E-2</v>
      </c>
      <c r="K108" s="5">
        <v>97.9</v>
      </c>
      <c r="L108" s="29">
        <f t="shared" si="11"/>
        <v>9.8348498689218231E-2</v>
      </c>
    </row>
    <row r="109" spans="1:12" x14ac:dyDescent="0.2">
      <c r="A109" s="21">
        <f t="shared" si="7"/>
        <v>39724</v>
      </c>
      <c r="B109" s="22">
        <v>39724</v>
      </c>
      <c r="C109" s="30">
        <v>2.14</v>
      </c>
      <c r="D109" s="28">
        <f t="shared" si="12"/>
        <v>1.8868484304382736E-2</v>
      </c>
      <c r="E109" s="24">
        <v>4.67</v>
      </c>
      <c r="F109" s="28">
        <f t="shared" si="8"/>
        <v>-0.11325220639602564</v>
      </c>
      <c r="G109" s="26">
        <v>140</v>
      </c>
      <c r="H109" s="28">
        <f t="shared" si="9"/>
        <v>-8.8889474172460393E-3</v>
      </c>
      <c r="I109" s="26">
        <v>3.4849999999999999</v>
      </c>
      <c r="J109" s="29">
        <f t="shared" si="10"/>
        <v>-4.4613935185224794E-2</v>
      </c>
      <c r="K109" s="5">
        <v>91.7</v>
      </c>
      <c r="L109" s="29">
        <f t="shared" si="11"/>
        <v>-6.5424170274045568E-2</v>
      </c>
    </row>
    <row r="110" spans="1:12" x14ac:dyDescent="0.2">
      <c r="A110" s="21">
        <f t="shared" si="7"/>
        <v>39731</v>
      </c>
      <c r="B110" s="22">
        <v>39731</v>
      </c>
      <c r="C110" s="30">
        <v>2.04</v>
      </c>
      <c r="D110" s="28">
        <f t="shared" si="12"/>
        <v>-4.78560211776351E-2</v>
      </c>
      <c r="E110" s="24">
        <v>4.13</v>
      </c>
      <c r="F110" s="28">
        <f t="shared" si="8"/>
        <v>-0.12288166470786453</v>
      </c>
      <c r="G110" s="26">
        <v>133.75</v>
      </c>
      <c r="H110" s="28">
        <f t="shared" si="9"/>
        <v>-4.5670036833188321E-2</v>
      </c>
      <c r="I110" s="26">
        <v>3.109</v>
      </c>
      <c r="J110" s="29">
        <f t="shared" si="10"/>
        <v>-0.11416691313587046</v>
      </c>
      <c r="K110" s="5">
        <v>80.91</v>
      </c>
      <c r="L110" s="29">
        <f t="shared" si="11"/>
        <v>-0.12518495344267089</v>
      </c>
    </row>
    <row r="111" spans="1:12" x14ac:dyDescent="0.2">
      <c r="A111" s="21">
        <f t="shared" si="7"/>
        <v>39738</v>
      </c>
      <c r="B111" s="22">
        <v>39738</v>
      </c>
      <c r="C111" s="30">
        <v>1.84</v>
      </c>
      <c r="D111" s="28">
        <f t="shared" si="12"/>
        <v>-0.10318423623523075</v>
      </c>
      <c r="E111" s="24">
        <v>3.8</v>
      </c>
      <c r="F111" s="28">
        <f t="shared" si="8"/>
        <v>-8.3276340240601363E-2</v>
      </c>
      <c r="G111" s="26">
        <v>128</v>
      </c>
      <c r="H111" s="28">
        <f t="shared" si="9"/>
        <v>-4.394212185649872E-2</v>
      </c>
      <c r="I111" s="26">
        <v>2.855</v>
      </c>
      <c r="J111" s="29">
        <f t="shared" si="10"/>
        <v>-8.5229287968643277E-2</v>
      </c>
      <c r="K111" s="5">
        <v>69.28</v>
      </c>
      <c r="L111" s="29">
        <f t="shared" si="11"/>
        <v>-0.15518116156556852</v>
      </c>
    </row>
    <row r="112" spans="1:12" x14ac:dyDescent="0.2">
      <c r="A112" s="21">
        <f t="shared" si="7"/>
        <v>39745</v>
      </c>
      <c r="B112" s="22">
        <v>39745</v>
      </c>
      <c r="C112" s="30">
        <v>1.68</v>
      </c>
      <c r="D112" s="28">
        <f t="shared" si="12"/>
        <v>-9.0971778205726758E-2</v>
      </c>
      <c r="E112" s="24">
        <v>3.82</v>
      </c>
      <c r="F112" s="28">
        <f t="shared" si="8"/>
        <v>5.249355886143745E-3</v>
      </c>
      <c r="G112" s="26">
        <v>126.8</v>
      </c>
      <c r="H112" s="28">
        <f t="shared" si="9"/>
        <v>-9.4192219164916397E-3</v>
      </c>
      <c r="I112" s="26">
        <v>2.589</v>
      </c>
      <c r="J112" s="29">
        <f t="shared" si="10"/>
        <v>-9.7800142338572954E-2</v>
      </c>
      <c r="K112" s="5">
        <v>62.81</v>
      </c>
      <c r="L112" s="29">
        <f t="shared" si="11"/>
        <v>-9.8041967787890288E-2</v>
      </c>
    </row>
    <row r="113" spans="1:12" x14ac:dyDescent="0.2">
      <c r="A113" s="21">
        <f t="shared" si="7"/>
        <v>39752</v>
      </c>
      <c r="B113" s="22">
        <v>39752</v>
      </c>
      <c r="C113" s="30">
        <v>1.67</v>
      </c>
      <c r="D113" s="28">
        <f t="shared" si="12"/>
        <v>-5.970166986503796E-3</v>
      </c>
      <c r="E113" s="24">
        <v>3.75</v>
      </c>
      <c r="F113" s="28">
        <f t="shared" si="8"/>
        <v>-1.8494582636164301E-2</v>
      </c>
      <c r="G113" s="26">
        <v>124.15</v>
      </c>
      <c r="H113" s="28">
        <f t="shared" si="9"/>
        <v>-2.1120530048949916E-2</v>
      </c>
      <c r="I113" s="26">
        <v>2.34</v>
      </c>
      <c r="J113" s="29">
        <f t="shared" si="10"/>
        <v>-0.10112077139979056</v>
      </c>
      <c r="K113" s="5">
        <v>57.53</v>
      </c>
      <c r="L113" s="29">
        <f t="shared" si="11"/>
        <v>-8.7807745591087311E-2</v>
      </c>
    </row>
    <row r="114" spans="1:12" x14ac:dyDescent="0.2">
      <c r="A114" s="21">
        <f t="shared" si="7"/>
        <v>39759</v>
      </c>
      <c r="B114" s="22">
        <v>39759</v>
      </c>
      <c r="C114" s="30">
        <v>1.67</v>
      </c>
      <c r="D114" s="28">
        <f t="shared" si="12"/>
        <v>0</v>
      </c>
      <c r="E114" s="24">
        <v>3.76</v>
      </c>
      <c r="F114" s="28">
        <f t="shared" si="8"/>
        <v>2.6631174194836284E-3</v>
      </c>
      <c r="G114" s="26">
        <v>122.95</v>
      </c>
      <c r="H114" s="28">
        <f t="shared" si="9"/>
        <v>-9.712743291974071E-3</v>
      </c>
      <c r="I114" s="26">
        <v>2.17</v>
      </c>
      <c r="J114" s="29">
        <f t="shared" si="10"/>
        <v>-7.5423761817241836E-2</v>
      </c>
      <c r="K114" s="5">
        <v>56.26</v>
      </c>
      <c r="L114" s="29">
        <f t="shared" si="11"/>
        <v>-2.2322747813491375E-2</v>
      </c>
    </row>
    <row r="115" spans="1:12" x14ac:dyDescent="0.2">
      <c r="A115" s="21">
        <f t="shared" si="7"/>
        <v>39766</v>
      </c>
      <c r="B115" s="22">
        <v>39766</v>
      </c>
      <c r="C115" s="30">
        <v>1.68</v>
      </c>
      <c r="D115" s="28">
        <f t="shared" si="12"/>
        <v>5.9701669865037544E-3</v>
      </c>
      <c r="E115" s="24">
        <v>3.56</v>
      </c>
      <c r="F115" s="28">
        <f t="shared" si="8"/>
        <v>-5.4658412537863965E-2</v>
      </c>
      <c r="G115" s="26">
        <v>120.9</v>
      </c>
      <c r="H115" s="28">
        <f t="shared" si="9"/>
        <v>-1.6814011041454583E-2</v>
      </c>
      <c r="I115" s="26">
        <v>2.0270000000000001</v>
      </c>
      <c r="J115" s="29">
        <f t="shared" si="10"/>
        <v>-6.8170300082505048E-2</v>
      </c>
      <c r="K115" s="5">
        <v>50.23</v>
      </c>
      <c r="L115" s="29">
        <f t="shared" si="11"/>
        <v>-0.11337134529975745</v>
      </c>
    </row>
    <row r="116" spans="1:12" x14ac:dyDescent="0.2">
      <c r="A116" s="21">
        <f t="shared" si="7"/>
        <v>39773</v>
      </c>
      <c r="B116" s="22">
        <v>39773</v>
      </c>
      <c r="C116" s="30">
        <v>1.63</v>
      </c>
      <c r="D116" s="28">
        <f t="shared" si="12"/>
        <v>-3.0213778596496595E-2</v>
      </c>
      <c r="E116" s="24">
        <v>3.58</v>
      </c>
      <c r="F116" s="28">
        <f t="shared" si="8"/>
        <v>5.6022555486697516E-3</v>
      </c>
      <c r="G116" s="26">
        <v>119.5</v>
      </c>
      <c r="H116" s="28">
        <f t="shared" si="9"/>
        <v>-1.1647386249181629E-2</v>
      </c>
      <c r="I116" s="26">
        <v>1.857</v>
      </c>
      <c r="J116" s="29">
        <f t="shared" si="10"/>
        <v>-8.7594585099294284E-2</v>
      </c>
      <c r="K116" s="5">
        <v>44.57</v>
      </c>
      <c r="L116" s="29">
        <f t="shared" si="11"/>
        <v>-0.11955147080348887</v>
      </c>
    </row>
    <row r="117" spans="1:12" x14ac:dyDescent="0.2">
      <c r="A117" s="21">
        <f t="shared" si="7"/>
        <v>39780</v>
      </c>
      <c r="B117" s="22">
        <v>39780</v>
      </c>
      <c r="C117" s="30">
        <v>1.62</v>
      </c>
      <c r="D117" s="28">
        <f t="shared" si="12"/>
        <v>-6.1538655743781116E-3</v>
      </c>
      <c r="E117" s="24">
        <v>3.31</v>
      </c>
      <c r="F117" s="28">
        <f t="shared" si="8"/>
        <v>-7.8414611023637407E-2</v>
      </c>
      <c r="G117" s="26">
        <v>117.25</v>
      </c>
      <c r="H117" s="28">
        <f t="shared" si="9"/>
        <v>-1.9007964045176632E-2</v>
      </c>
      <c r="I117" s="26">
        <v>1.79</v>
      </c>
      <c r="J117" s="29">
        <f t="shared" si="10"/>
        <v>-3.6746662517905058E-2</v>
      </c>
      <c r="K117" s="5">
        <v>43.61</v>
      </c>
      <c r="L117" s="29">
        <f t="shared" si="11"/>
        <v>-2.1774505103789445E-2</v>
      </c>
    </row>
    <row r="118" spans="1:12" x14ac:dyDescent="0.2">
      <c r="A118" s="21">
        <f t="shared" si="7"/>
        <v>39787</v>
      </c>
      <c r="B118" s="22">
        <v>39787</v>
      </c>
      <c r="C118" s="30">
        <v>1.57</v>
      </c>
      <c r="D118" s="28">
        <f t="shared" si="12"/>
        <v>-3.1350529884076044E-2</v>
      </c>
      <c r="E118" s="24">
        <v>3.18</v>
      </c>
      <c r="F118" s="28">
        <f t="shared" si="8"/>
        <v>-4.0066992596886071E-2</v>
      </c>
      <c r="G118" s="26">
        <v>116</v>
      </c>
      <c r="H118" s="28">
        <f t="shared" si="9"/>
        <v>-1.0718216220024147E-2</v>
      </c>
      <c r="I118" s="26">
        <v>1.681</v>
      </c>
      <c r="J118" s="29">
        <f t="shared" si="10"/>
        <v>-6.2826765426185038E-2</v>
      </c>
      <c r="K118" s="5">
        <v>41.07</v>
      </c>
      <c r="L118" s="29">
        <f t="shared" si="11"/>
        <v>-6.0008553886207815E-2</v>
      </c>
    </row>
    <row r="119" spans="1:12" x14ac:dyDescent="0.2">
      <c r="A119" s="21">
        <f t="shared" si="7"/>
        <v>39794</v>
      </c>
      <c r="B119" s="22">
        <v>39794</v>
      </c>
      <c r="C119" s="30">
        <v>1.49</v>
      </c>
      <c r="D119" s="28">
        <f t="shared" si="12"/>
        <v>-5.2299499402848906E-2</v>
      </c>
      <c r="E119" s="24">
        <v>3.03</v>
      </c>
      <c r="F119" s="28">
        <f t="shared" si="8"/>
        <v>-4.8318577270807801E-2</v>
      </c>
      <c r="G119" s="26">
        <v>111.5</v>
      </c>
      <c r="H119" s="28">
        <f t="shared" si="9"/>
        <v>-3.9565600206191251E-2</v>
      </c>
      <c r="I119" s="26">
        <v>1.6479999999999999</v>
      </c>
      <c r="J119" s="29">
        <f t="shared" si="10"/>
        <v>-1.9826422939198632E-2</v>
      </c>
      <c r="K119" s="5">
        <v>36.58</v>
      </c>
      <c r="L119" s="29">
        <f t="shared" si="11"/>
        <v>-0.11577628500574766</v>
      </c>
    </row>
    <row r="120" spans="1:12" x14ac:dyDescent="0.2">
      <c r="A120" s="21">
        <f t="shared" si="7"/>
        <v>39801</v>
      </c>
      <c r="B120" s="22">
        <v>39801</v>
      </c>
      <c r="C120" s="30">
        <v>1.43</v>
      </c>
      <c r="D120" s="28">
        <f t="shared" si="12"/>
        <v>-4.1101675685551918E-2</v>
      </c>
      <c r="E120" s="24">
        <v>3.55</v>
      </c>
      <c r="F120" s="28">
        <f t="shared" si="8"/>
        <v>0.15838498396604672</v>
      </c>
      <c r="G120" s="26">
        <v>113.95</v>
      </c>
      <c r="H120" s="28">
        <f t="shared" si="9"/>
        <v>2.1735164791519941E-2</v>
      </c>
      <c r="I120" s="26">
        <v>1.635</v>
      </c>
      <c r="J120" s="29">
        <f t="shared" si="10"/>
        <v>-7.9196271380632104E-3</v>
      </c>
      <c r="K120" s="5">
        <v>37.799999999999997</v>
      </c>
      <c r="L120" s="29">
        <f t="shared" si="11"/>
        <v>3.2807459662822371E-2</v>
      </c>
    </row>
    <row r="121" spans="1:12" ht="15" x14ac:dyDescent="0.25">
      <c r="A121" s="31">
        <f t="shared" si="7"/>
        <v>39808</v>
      </c>
      <c r="B121" s="36">
        <v>39808</v>
      </c>
      <c r="C121" s="37">
        <v>1.48</v>
      </c>
      <c r="D121" s="28">
        <f t="shared" si="12"/>
        <v>3.4367643504207818E-2</v>
      </c>
      <c r="E121" s="38">
        <v>3.58</v>
      </c>
      <c r="F121" s="28">
        <f t="shared" si="8"/>
        <v>8.4151969252844981E-3</v>
      </c>
      <c r="G121" s="39">
        <v>119.83</v>
      </c>
      <c r="H121" s="28">
        <f t="shared" si="9"/>
        <v>5.0314316002731875E-2</v>
      </c>
      <c r="I121" s="26">
        <v>1.59</v>
      </c>
      <c r="J121" s="29">
        <f t="shared" si="10"/>
        <v>-2.7908788117076502E-2</v>
      </c>
      <c r="K121" s="5">
        <v>31.84</v>
      </c>
      <c r="L121" s="29">
        <f t="shared" si="11"/>
        <v>-0.17158574164935969</v>
      </c>
    </row>
    <row r="122" spans="1:12" x14ac:dyDescent="0.2">
      <c r="A122" s="21">
        <f t="shared" si="7"/>
        <v>39815</v>
      </c>
      <c r="B122" s="22">
        <v>39815</v>
      </c>
      <c r="C122" s="30">
        <v>1.49</v>
      </c>
      <c r="D122" s="28">
        <f t="shared" si="12"/>
        <v>6.7340321813441194E-3</v>
      </c>
      <c r="E122" s="24">
        <v>3.73</v>
      </c>
      <c r="F122" s="28">
        <f t="shared" si="8"/>
        <v>4.1045433243115166E-2</v>
      </c>
      <c r="G122" s="26">
        <v>126</v>
      </c>
      <c r="H122" s="28">
        <f t="shared" si="9"/>
        <v>5.0207835257052684E-2</v>
      </c>
      <c r="I122" s="26">
        <v>1.6719999999999999</v>
      </c>
      <c r="J122" s="29">
        <f t="shared" si="10"/>
        <v>5.0286498430369711E-2</v>
      </c>
      <c r="K122" s="5">
        <v>31.76</v>
      </c>
      <c r="L122" s="29">
        <f t="shared" si="11"/>
        <v>-2.5157245972472469E-3</v>
      </c>
    </row>
    <row r="123" spans="1:12" x14ac:dyDescent="0.2">
      <c r="A123" s="21">
        <f t="shared" si="7"/>
        <v>39822</v>
      </c>
      <c r="B123" s="22">
        <v>39822</v>
      </c>
      <c r="C123" s="30">
        <v>1.53</v>
      </c>
      <c r="D123" s="28">
        <f t="shared" si="12"/>
        <v>2.6491615446976285E-2</v>
      </c>
      <c r="E123" s="24">
        <v>3.87</v>
      </c>
      <c r="F123" s="28">
        <f t="shared" si="8"/>
        <v>3.6846273385966292E-2</v>
      </c>
      <c r="G123" s="26">
        <v>125.8</v>
      </c>
      <c r="H123" s="28">
        <f t="shared" si="9"/>
        <v>-1.5885626851378416E-3</v>
      </c>
      <c r="I123" s="26">
        <v>1.772</v>
      </c>
      <c r="J123" s="29">
        <f t="shared" si="10"/>
        <v>5.8088337520379459E-2</v>
      </c>
      <c r="K123" s="5">
        <v>39.840000000000003</v>
      </c>
      <c r="L123" s="29">
        <f t="shared" si="11"/>
        <v>0.22666379633746248</v>
      </c>
    </row>
    <row r="124" spans="1:12" x14ac:dyDescent="0.2">
      <c r="A124" s="21">
        <f t="shared" si="7"/>
        <v>39829</v>
      </c>
      <c r="B124" s="22">
        <v>39829</v>
      </c>
      <c r="C124" s="30">
        <v>1.55</v>
      </c>
      <c r="D124" s="28">
        <f t="shared" si="12"/>
        <v>1.2987195526811112E-2</v>
      </c>
      <c r="E124" s="24">
        <v>3.5</v>
      </c>
      <c r="F124" s="28">
        <f t="shared" si="8"/>
        <v>-0.10049153854632246</v>
      </c>
      <c r="G124" s="26">
        <v>123.85</v>
      </c>
      <c r="H124" s="28">
        <f t="shared" si="9"/>
        <v>-1.5622188330971591E-2</v>
      </c>
      <c r="I124" s="26">
        <v>1.8320000000000001</v>
      </c>
      <c r="J124" s="29">
        <f t="shared" si="10"/>
        <v>3.3299414069049259E-2</v>
      </c>
      <c r="K124" s="5">
        <v>38.24</v>
      </c>
      <c r="L124" s="29">
        <f t="shared" si="11"/>
        <v>-4.0989344533197004E-2</v>
      </c>
    </row>
    <row r="125" spans="1:12" x14ac:dyDescent="0.2">
      <c r="A125" s="21">
        <f t="shared" si="7"/>
        <v>39836</v>
      </c>
      <c r="B125" s="22">
        <v>39836</v>
      </c>
      <c r="C125" s="30">
        <v>1.49</v>
      </c>
      <c r="D125" s="28">
        <f t="shared" si="12"/>
        <v>-3.9478810973787463E-2</v>
      </c>
      <c r="E125" s="24">
        <v>3.66</v>
      </c>
      <c r="F125" s="28">
        <f t="shared" si="8"/>
        <v>4.4700178917906987E-2</v>
      </c>
      <c r="G125" s="26">
        <v>124.5</v>
      </c>
      <c r="H125" s="28">
        <f t="shared" si="9"/>
        <v>5.23455996939388E-3</v>
      </c>
      <c r="I125" s="26">
        <v>1.8129999999999999</v>
      </c>
      <c r="J125" s="29">
        <f t="shared" si="10"/>
        <v>-1.0425334479224616E-2</v>
      </c>
      <c r="K125" s="5">
        <v>38.21</v>
      </c>
      <c r="L125" s="29">
        <f t="shared" si="11"/>
        <v>-7.8482672439194592E-4</v>
      </c>
    </row>
    <row r="126" spans="1:12" x14ac:dyDescent="0.2">
      <c r="A126" s="21">
        <f t="shared" si="7"/>
        <v>39843</v>
      </c>
      <c r="B126" s="22">
        <v>39843</v>
      </c>
      <c r="C126" s="30">
        <v>1.5</v>
      </c>
      <c r="D126" s="28">
        <f t="shared" si="12"/>
        <v>6.6889881507967101E-3</v>
      </c>
      <c r="E126" s="24">
        <v>3.62</v>
      </c>
      <c r="F126" s="28">
        <f t="shared" si="8"/>
        <v>-1.0989121575595206E-2</v>
      </c>
      <c r="G126" s="26">
        <v>126.3</v>
      </c>
      <c r="H126" s="28">
        <f t="shared" si="9"/>
        <v>1.4354313451683122E-2</v>
      </c>
      <c r="I126" s="26">
        <v>1.871</v>
      </c>
      <c r="J126" s="29">
        <f t="shared" si="10"/>
        <v>3.1490115519238561E-2</v>
      </c>
      <c r="K126" s="5">
        <v>40.6</v>
      </c>
      <c r="L126" s="29">
        <f t="shared" si="11"/>
        <v>6.0670805148878328E-2</v>
      </c>
    </row>
    <row r="127" spans="1:12" x14ac:dyDescent="0.2">
      <c r="A127" s="21">
        <f t="shared" si="7"/>
        <v>39850</v>
      </c>
      <c r="B127" s="22">
        <v>39850</v>
      </c>
      <c r="C127" s="30">
        <v>1.49</v>
      </c>
      <c r="D127" s="28">
        <f t="shared" si="12"/>
        <v>-6.688988150796652E-3</v>
      </c>
      <c r="E127" s="24">
        <v>3.46</v>
      </c>
      <c r="F127" s="28">
        <f t="shared" si="8"/>
        <v>-4.5205436768046801E-2</v>
      </c>
      <c r="G127" s="26">
        <v>126.35</v>
      </c>
      <c r="H127" s="28">
        <f t="shared" si="9"/>
        <v>3.9580447775777104E-4</v>
      </c>
      <c r="I127" s="26">
        <v>1.897</v>
      </c>
      <c r="J127" s="29">
        <f t="shared" si="10"/>
        <v>1.3800643660924643E-2</v>
      </c>
      <c r="K127" s="5">
        <v>39.42</v>
      </c>
      <c r="L127" s="29">
        <f t="shared" si="11"/>
        <v>-2.9494764883112857E-2</v>
      </c>
    </row>
    <row r="128" spans="1:12" x14ac:dyDescent="0.2">
      <c r="A128" s="21">
        <f t="shared" si="7"/>
        <v>39857</v>
      </c>
      <c r="B128" s="22">
        <v>39857</v>
      </c>
      <c r="C128" s="30">
        <v>1.48</v>
      </c>
      <c r="D128" s="28">
        <f t="shared" si="12"/>
        <v>-6.7340321813440683E-3</v>
      </c>
      <c r="E128" s="24">
        <v>3.52</v>
      </c>
      <c r="F128" s="28">
        <f t="shared" si="8"/>
        <v>1.7192400540372771E-2</v>
      </c>
      <c r="G128" s="26">
        <v>124.75</v>
      </c>
      <c r="H128" s="28">
        <f t="shared" si="9"/>
        <v>-1.2744099202575142E-2</v>
      </c>
      <c r="I128" s="26">
        <v>1.931</v>
      </c>
      <c r="J128" s="29">
        <f t="shared" si="10"/>
        <v>1.7764312493500155E-2</v>
      </c>
      <c r="K128" s="5">
        <v>40.479999999999997</v>
      </c>
      <c r="L128" s="29">
        <f t="shared" si="11"/>
        <v>2.6534723254635906E-2</v>
      </c>
    </row>
    <row r="129" spans="1:12" x14ac:dyDescent="0.2">
      <c r="A129" s="21">
        <f t="shared" si="7"/>
        <v>39864</v>
      </c>
      <c r="B129" s="22">
        <v>39864</v>
      </c>
      <c r="C129" s="30">
        <v>1.51</v>
      </c>
      <c r="D129" s="28">
        <f t="shared" si="12"/>
        <v>2.0067563050809388E-2</v>
      </c>
      <c r="E129" s="24">
        <v>3.4</v>
      </c>
      <c r="F129" s="28">
        <f t="shared" si="8"/>
        <v>-3.4685557987890102E-2</v>
      </c>
      <c r="G129" s="26">
        <v>124.45</v>
      </c>
      <c r="H129" s="28">
        <f t="shared" si="9"/>
        <v>-2.4077058180270606E-3</v>
      </c>
      <c r="I129" s="26">
        <v>1.8680000000000001</v>
      </c>
      <c r="J129" s="29">
        <f t="shared" si="10"/>
        <v>-3.3169663639726517E-2</v>
      </c>
      <c r="K129" s="5">
        <v>37.200000000000003</v>
      </c>
      <c r="L129" s="29">
        <f t="shared" si="11"/>
        <v>-8.4499263700109087E-2</v>
      </c>
    </row>
    <row r="130" spans="1:12" x14ac:dyDescent="0.2">
      <c r="A130" s="21">
        <f t="shared" si="7"/>
        <v>39871</v>
      </c>
      <c r="B130" s="22">
        <v>39871</v>
      </c>
      <c r="C130" s="30">
        <v>1.48</v>
      </c>
      <c r="D130" s="28">
        <f t="shared" si="12"/>
        <v>-2.0067563050809256E-2</v>
      </c>
      <c r="E130" s="24">
        <v>3.43</v>
      </c>
      <c r="F130" s="28">
        <f t="shared" si="8"/>
        <v>8.7848295557328114E-3</v>
      </c>
      <c r="G130" s="26">
        <v>122.5</v>
      </c>
      <c r="H130" s="28">
        <f t="shared" si="9"/>
        <v>-1.579299882881938E-2</v>
      </c>
      <c r="I130" s="26">
        <v>1.91</v>
      </c>
      <c r="J130" s="29">
        <f t="shared" si="10"/>
        <v>2.2234902251887574E-2</v>
      </c>
      <c r="K130" s="5">
        <v>38.6</v>
      </c>
      <c r="L130" s="29">
        <f t="shared" si="11"/>
        <v>3.6943515191684276E-2</v>
      </c>
    </row>
    <row r="131" spans="1:12" x14ac:dyDescent="0.2">
      <c r="A131" s="21">
        <f t="shared" si="7"/>
        <v>39878</v>
      </c>
      <c r="B131" s="22">
        <v>39878</v>
      </c>
      <c r="C131" s="30">
        <v>1.49</v>
      </c>
      <c r="D131" s="28">
        <f t="shared" si="12"/>
        <v>6.7340321813441194E-3</v>
      </c>
      <c r="E131" s="24">
        <v>3.37</v>
      </c>
      <c r="F131" s="28">
        <f t="shared" si="8"/>
        <v>-1.7647516813578228E-2</v>
      </c>
      <c r="G131" s="26">
        <v>122.5</v>
      </c>
      <c r="H131" s="28">
        <f t="shared" si="9"/>
        <v>0</v>
      </c>
      <c r="I131" s="26">
        <v>1.9179999999999999</v>
      </c>
      <c r="J131" s="29">
        <f t="shared" si="10"/>
        <v>4.1797344027080657E-3</v>
      </c>
      <c r="K131" s="5">
        <v>41.31</v>
      </c>
      <c r="L131" s="29">
        <f t="shared" si="11"/>
        <v>6.7852324937887981E-2</v>
      </c>
    </row>
    <row r="132" spans="1:12" x14ac:dyDescent="0.2">
      <c r="A132" s="21">
        <f t="shared" si="7"/>
        <v>39885</v>
      </c>
      <c r="B132" s="22">
        <v>39885</v>
      </c>
      <c r="C132" s="30">
        <v>1.42</v>
      </c>
      <c r="D132" s="28">
        <f t="shared" si="12"/>
        <v>-4.8119248344198458E-2</v>
      </c>
      <c r="E132" s="24">
        <v>3.55</v>
      </c>
      <c r="F132" s="28">
        <f t="shared" si="8"/>
        <v>5.2034859123053924E-2</v>
      </c>
      <c r="G132" s="26">
        <v>121</v>
      </c>
      <c r="H132" s="28">
        <f t="shared" si="9"/>
        <v>-1.2320484388040624E-2</v>
      </c>
      <c r="I132" s="26">
        <v>1.885</v>
      </c>
      <c r="J132" s="29">
        <f t="shared" si="10"/>
        <v>-1.7355155561272314E-2</v>
      </c>
      <c r="K132" s="5">
        <v>42.39</v>
      </c>
      <c r="L132" s="29">
        <f t="shared" si="11"/>
        <v>2.5807883955872503E-2</v>
      </c>
    </row>
    <row r="133" spans="1:12" x14ac:dyDescent="0.2">
      <c r="A133" s="21">
        <f t="shared" si="7"/>
        <v>39892</v>
      </c>
      <c r="B133" s="22">
        <v>39892</v>
      </c>
      <c r="C133" s="30">
        <v>1.43</v>
      </c>
      <c r="D133" s="28">
        <f t="shared" si="12"/>
        <v>7.0175726586465398E-3</v>
      </c>
      <c r="E133" s="24">
        <v>3.76</v>
      </c>
      <c r="F133" s="28">
        <f t="shared" si="8"/>
        <v>5.7471353914478641E-2</v>
      </c>
      <c r="G133" s="26">
        <v>120</v>
      </c>
      <c r="H133" s="28">
        <f t="shared" si="9"/>
        <v>-8.2988028146950658E-3</v>
      </c>
      <c r="I133" s="26">
        <v>1.944</v>
      </c>
      <c r="J133" s="29">
        <f t="shared" si="10"/>
        <v>3.0819885138273259E-2</v>
      </c>
      <c r="K133" s="5">
        <v>44.51</v>
      </c>
      <c r="L133" s="29">
        <f t="shared" si="11"/>
        <v>4.8801397663217227E-2</v>
      </c>
    </row>
    <row r="134" spans="1:12" x14ac:dyDescent="0.2">
      <c r="A134" s="21">
        <f t="shared" ref="A134:A197" si="13">B134</f>
        <v>39899</v>
      </c>
      <c r="B134" s="22">
        <v>39899</v>
      </c>
      <c r="C134" s="30">
        <v>1.48</v>
      </c>
      <c r="D134" s="28">
        <f t="shared" si="12"/>
        <v>3.4367643504207818E-2</v>
      </c>
      <c r="E134" s="24">
        <v>3.77</v>
      </c>
      <c r="F134" s="28">
        <f t="shared" si="8"/>
        <v>2.6560440581162104E-3</v>
      </c>
      <c r="G134" s="26">
        <v>120.4</v>
      </c>
      <c r="H134" s="28">
        <f t="shared" si="9"/>
        <v>3.3277900926747457E-3</v>
      </c>
      <c r="I134" s="26">
        <v>2.0299999999999998</v>
      </c>
      <c r="J134" s="29">
        <f t="shared" si="10"/>
        <v>4.3288087015448465E-2</v>
      </c>
      <c r="K134" s="5">
        <v>49.47</v>
      </c>
      <c r="L134" s="29">
        <f t="shared" si="11"/>
        <v>0.10565254221185437</v>
      </c>
    </row>
    <row r="135" spans="1:12" x14ac:dyDescent="0.2">
      <c r="A135" s="21">
        <f t="shared" si="13"/>
        <v>39906</v>
      </c>
      <c r="B135" s="22">
        <v>39906</v>
      </c>
      <c r="C135" s="30">
        <v>1.51</v>
      </c>
      <c r="D135" s="28">
        <f t="shared" si="12"/>
        <v>2.0067563050809388E-2</v>
      </c>
      <c r="E135" s="24">
        <v>3.81</v>
      </c>
      <c r="F135" s="28">
        <f t="shared" ref="F135:F198" si="14">LN(E135/E134)</f>
        <v>1.0554187678690171E-2</v>
      </c>
      <c r="G135" s="26">
        <v>121.2</v>
      </c>
      <c r="H135" s="28">
        <f t="shared" ref="H135:H198" si="15">LN(G135/G134)</f>
        <v>6.6225407604934569E-3</v>
      </c>
      <c r="I135" s="26">
        <v>2.0110000000000001</v>
      </c>
      <c r="J135" s="29">
        <f t="shared" ref="J135:J198" si="16">LN(I135/I134)</f>
        <v>-9.4036822631808122E-3</v>
      </c>
      <c r="K135" s="5">
        <v>47.51</v>
      </c>
      <c r="L135" s="29">
        <f t="shared" ref="L135:L198" si="17">LN(K135/K134)</f>
        <v>-4.0426210040787239E-2</v>
      </c>
    </row>
    <row r="136" spans="1:12" x14ac:dyDescent="0.2">
      <c r="A136" s="21">
        <f t="shared" si="13"/>
        <v>39913</v>
      </c>
      <c r="B136" s="22">
        <v>39913</v>
      </c>
      <c r="C136" s="30">
        <v>1.51</v>
      </c>
      <c r="D136" s="28">
        <f t="shared" si="12"/>
        <v>0</v>
      </c>
      <c r="E136" s="24">
        <v>3.85</v>
      </c>
      <c r="F136" s="28">
        <f t="shared" si="14"/>
        <v>1.0443959161083314E-2</v>
      </c>
      <c r="G136" s="26">
        <v>120.15</v>
      </c>
      <c r="H136" s="28">
        <f t="shared" si="15"/>
        <v>-8.7011114527361655E-3</v>
      </c>
      <c r="I136" s="26">
        <v>2.0249999999999999</v>
      </c>
      <c r="J136" s="29">
        <f t="shared" si="16"/>
        <v>6.9375897679872876E-3</v>
      </c>
      <c r="K136" s="5">
        <v>48.85</v>
      </c>
      <c r="L136" s="29">
        <f t="shared" si="17"/>
        <v>2.7814163289961898E-2</v>
      </c>
    </row>
    <row r="137" spans="1:12" x14ac:dyDescent="0.2">
      <c r="A137" s="21">
        <f t="shared" si="13"/>
        <v>39920</v>
      </c>
      <c r="B137" s="22">
        <v>39920</v>
      </c>
      <c r="C137" s="30">
        <v>1.51</v>
      </c>
      <c r="D137" s="28">
        <f t="shared" si="12"/>
        <v>0</v>
      </c>
      <c r="E137" s="24">
        <v>3.76</v>
      </c>
      <c r="F137" s="28">
        <f t="shared" si="14"/>
        <v>-2.365419089788983E-2</v>
      </c>
      <c r="G137" s="26">
        <v>120.3</v>
      </c>
      <c r="H137" s="28">
        <f t="shared" si="15"/>
        <v>1.2476607981552772E-3</v>
      </c>
      <c r="I137" s="26">
        <v>2.0310000000000001</v>
      </c>
      <c r="J137" s="29">
        <f t="shared" si="16"/>
        <v>2.9585820397452626E-3</v>
      </c>
      <c r="K137" s="5">
        <v>49.06</v>
      </c>
      <c r="L137" s="29">
        <f t="shared" si="17"/>
        <v>4.2896603415514866E-3</v>
      </c>
    </row>
    <row r="138" spans="1:12" x14ac:dyDescent="0.2">
      <c r="A138" s="21">
        <f t="shared" si="13"/>
        <v>39927</v>
      </c>
      <c r="B138" s="22">
        <v>39927</v>
      </c>
      <c r="C138" s="30">
        <v>1.49</v>
      </c>
      <c r="D138" s="28">
        <f t="shared" ref="D138:D201" si="18">LN(C138/C137)</f>
        <v>-1.3333530869465144E-2</v>
      </c>
      <c r="E138" s="24">
        <v>3.64</v>
      </c>
      <c r="F138" s="28">
        <f t="shared" si="14"/>
        <v>-3.2435275753153733E-2</v>
      </c>
      <c r="G138" s="26">
        <v>119.7</v>
      </c>
      <c r="H138" s="28">
        <f t="shared" si="15"/>
        <v>-5.0000104167056405E-3</v>
      </c>
      <c r="I138" s="26">
        <v>2.016</v>
      </c>
      <c r="J138" s="29">
        <f t="shared" si="16"/>
        <v>-7.4129323891255223E-3</v>
      </c>
      <c r="K138" s="5">
        <v>46.67</v>
      </c>
      <c r="L138" s="29">
        <f t="shared" si="17"/>
        <v>-4.9942478868618981E-2</v>
      </c>
    </row>
    <row r="139" spans="1:12" x14ac:dyDescent="0.2">
      <c r="A139" s="21">
        <f t="shared" si="13"/>
        <v>39934</v>
      </c>
      <c r="B139" s="22">
        <v>39934</v>
      </c>
      <c r="C139" s="30">
        <v>1.48</v>
      </c>
      <c r="D139" s="28">
        <f t="shared" si="18"/>
        <v>-6.7340321813440683E-3</v>
      </c>
      <c r="E139" s="24">
        <v>3.73</v>
      </c>
      <c r="F139" s="28">
        <f t="shared" si="14"/>
        <v>2.4424552007074794E-2</v>
      </c>
      <c r="G139" s="26">
        <v>119</v>
      </c>
      <c r="H139" s="28">
        <f t="shared" si="15"/>
        <v>-5.8651194523981339E-3</v>
      </c>
      <c r="I139" s="26">
        <v>2.0449999999999999</v>
      </c>
      <c r="J139" s="29">
        <f t="shared" si="16"/>
        <v>1.4282439285642944E-2</v>
      </c>
      <c r="K139" s="5">
        <v>47.82</v>
      </c>
      <c r="L139" s="29">
        <f t="shared" si="17"/>
        <v>2.4342402068454502E-2</v>
      </c>
    </row>
    <row r="140" spans="1:12" x14ac:dyDescent="0.2">
      <c r="A140" s="21">
        <f t="shared" si="13"/>
        <v>39941</v>
      </c>
      <c r="B140" s="22">
        <v>39941</v>
      </c>
      <c r="C140" s="30">
        <v>1.49</v>
      </c>
      <c r="D140" s="28">
        <f t="shared" si="18"/>
        <v>6.7340321813441194E-3</v>
      </c>
      <c r="E140" s="24">
        <v>3.9</v>
      </c>
      <c r="F140" s="28">
        <f t="shared" si="14"/>
        <v>4.4568319479876599E-2</v>
      </c>
      <c r="G140" s="26">
        <v>121.65</v>
      </c>
      <c r="H140" s="28">
        <f t="shared" si="15"/>
        <v>2.2024576118002372E-2</v>
      </c>
      <c r="I140" s="26">
        <v>2.218</v>
      </c>
      <c r="J140" s="29">
        <f t="shared" si="16"/>
        <v>8.1208099433410189E-2</v>
      </c>
      <c r="K140" s="5">
        <v>52.2</v>
      </c>
      <c r="L140" s="29">
        <f t="shared" si="17"/>
        <v>8.7638532858414372E-2</v>
      </c>
    </row>
    <row r="141" spans="1:12" x14ac:dyDescent="0.2">
      <c r="A141" s="21">
        <f t="shared" si="13"/>
        <v>39948</v>
      </c>
      <c r="B141" s="22">
        <v>39948</v>
      </c>
      <c r="C141" s="30">
        <v>1.55</v>
      </c>
      <c r="D141" s="28">
        <f t="shared" si="18"/>
        <v>3.9478810973787422E-2</v>
      </c>
      <c r="E141" s="24">
        <v>4.03</v>
      </c>
      <c r="F141" s="28">
        <f t="shared" si="14"/>
        <v>3.278982282299097E-2</v>
      </c>
      <c r="G141" s="26">
        <v>128</v>
      </c>
      <c r="H141" s="28">
        <f t="shared" si="15"/>
        <v>5.0882194690085487E-2</v>
      </c>
      <c r="I141" s="26">
        <v>2.2810000000000001</v>
      </c>
      <c r="J141" s="29">
        <f t="shared" si="16"/>
        <v>2.8008054374075841E-2</v>
      </c>
      <c r="K141" s="5">
        <v>55.21</v>
      </c>
      <c r="L141" s="29">
        <f t="shared" si="17"/>
        <v>5.60616014073601E-2</v>
      </c>
    </row>
    <row r="142" spans="1:12" x14ac:dyDescent="0.2">
      <c r="A142" s="21">
        <f t="shared" si="13"/>
        <v>39955</v>
      </c>
      <c r="B142" s="22">
        <v>39955</v>
      </c>
      <c r="C142" s="30">
        <v>1.6</v>
      </c>
      <c r="D142" s="28">
        <f t="shared" si="18"/>
        <v>3.174869831458027E-2</v>
      </c>
      <c r="E142" s="24">
        <v>3.99</v>
      </c>
      <c r="F142" s="28">
        <f t="shared" si="14"/>
        <v>-9.9751450568195087E-3</v>
      </c>
      <c r="G142" s="26">
        <v>131.35</v>
      </c>
      <c r="H142" s="28">
        <f t="shared" si="15"/>
        <v>2.5835252211931663E-2</v>
      </c>
      <c r="I142" s="26">
        <v>2.4140000000000001</v>
      </c>
      <c r="J142" s="29">
        <f t="shared" si="16"/>
        <v>5.6671179373088784E-2</v>
      </c>
      <c r="K142" s="5">
        <v>56.12</v>
      </c>
      <c r="L142" s="29">
        <f t="shared" si="17"/>
        <v>1.6348158938306833E-2</v>
      </c>
    </row>
    <row r="143" spans="1:12" x14ac:dyDescent="0.2">
      <c r="A143" s="21">
        <f t="shared" si="13"/>
        <v>39962</v>
      </c>
      <c r="B143" s="22">
        <v>39962</v>
      </c>
      <c r="C143" s="30">
        <v>1.6</v>
      </c>
      <c r="D143" s="28">
        <f t="shared" si="18"/>
        <v>0</v>
      </c>
      <c r="E143" s="24">
        <v>4.04</v>
      </c>
      <c r="F143" s="28">
        <f t="shared" si="14"/>
        <v>1.2453461071286557E-2</v>
      </c>
      <c r="G143" s="26">
        <v>136.75</v>
      </c>
      <c r="H143" s="28">
        <f t="shared" si="15"/>
        <v>4.0288925170541855E-2</v>
      </c>
      <c r="I143" s="26">
        <v>2.5019999999999998</v>
      </c>
      <c r="J143" s="29">
        <f t="shared" si="16"/>
        <v>3.5805289369379531E-2</v>
      </c>
      <c r="K143" s="5">
        <v>59.36</v>
      </c>
      <c r="L143" s="29">
        <f t="shared" si="17"/>
        <v>5.6128343624864782E-2</v>
      </c>
    </row>
    <row r="144" spans="1:12" x14ac:dyDescent="0.2">
      <c r="A144" s="21">
        <f t="shared" si="13"/>
        <v>39969</v>
      </c>
      <c r="B144" s="22">
        <v>39969</v>
      </c>
      <c r="C144" s="30">
        <v>1.64</v>
      </c>
      <c r="D144" s="28">
        <f t="shared" si="18"/>
        <v>2.4692612590371414E-2</v>
      </c>
      <c r="E144" s="24">
        <v>4.18</v>
      </c>
      <c r="F144" s="28">
        <f t="shared" si="14"/>
        <v>3.4066554563606272E-2</v>
      </c>
      <c r="G144" s="26">
        <v>142</v>
      </c>
      <c r="H144" s="28">
        <f t="shared" si="15"/>
        <v>3.7672616299170042E-2</v>
      </c>
      <c r="I144" s="26">
        <v>2.6</v>
      </c>
      <c r="J144" s="29">
        <f t="shared" si="16"/>
        <v>3.8421032982717013E-2</v>
      </c>
      <c r="K144" s="5">
        <v>63.7</v>
      </c>
      <c r="L144" s="29">
        <f t="shared" si="17"/>
        <v>7.056396371899272E-2</v>
      </c>
    </row>
    <row r="145" spans="1:12" x14ac:dyDescent="0.2">
      <c r="A145" s="21">
        <f t="shared" si="13"/>
        <v>39976</v>
      </c>
      <c r="B145" s="22">
        <v>39976</v>
      </c>
      <c r="C145" s="30">
        <v>1.69</v>
      </c>
      <c r="D145" s="28">
        <f t="shared" si="18"/>
        <v>3.0032287098875076E-2</v>
      </c>
      <c r="E145" s="24">
        <v>4.13</v>
      </c>
      <c r="F145" s="28">
        <f t="shared" si="14"/>
        <v>-1.2033839563723565E-2</v>
      </c>
      <c r="G145" s="26">
        <v>144.25</v>
      </c>
      <c r="H145" s="28">
        <f t="shared" si="15"/>
        <v>1.5720847786948246E-2</v>
      </c>
      <c r="I145" s="26">
        <v>2.6389999999999998</v>
      </c>
      <c r="J145" s="29">
        <f t="shared" si="16"/>
        <v>1.4888612493750559E-2</v>
      </c>
      <c r="K145" s="5">
        <v>65.98</v>
      </c>
      <c r="L145" s="29">
        <f t="shared" si="17"/>
        <v>3.5167103222317669E-2</v>
      </c>
    </row>
    <row r="146" spans="1:12" x14ac:dyDescent="0.2">
      <c r="A146" s="21">
        <f t="shared" si="13"/>
        <v>39983</v>
      </c>
      <c r="B146" s="22">
        <v>39983</v>
      </c>
      <c r="C146" s="30">
        <v>1.7</v>
      </c>
      <c r="D146" s="28">
        <f t="shared" si="18"/>
        <v>5.899722127188322E-3</v>
      </c>
      <c r="E146" s="24">
        <v>3.82</v>
      </c>
      <c r="F146" s="28">
        <f t="shared" si="14"/>
        <v>-7.8026984354457582E-2</v>
      </c>
      <c r="G146" s="26">
        <v>137.5</v>
      </c>
      <c r="H146" s="28">
        <f t="shared" si="15"/>
        <v>-4.7923988281583008E-2</v>
      </c>
      <c r="I146" s="26">
        <v>2.65</v>
      </c>
      <c r="J146" s="29">
        <f t="shared" si="16"/>
        <v>4.1595824769439472E-3</v>
      </c>
      <c r="K146" s="5">
        <v>67.56</v>
      </c>
      <c r="L146" s="29">
        <f t="shared" si="17"/>
        <v>2.3664426139163943E-2</v>
      </c>
    </row>
    <row r="147" spans="1:12" x14ac:dyDescent="0.2">
      <c r="A147" s="21">
        <f t="shared" si="13"/>
        <v>39990</v>
      </c>
      <c r="B147" s="22">
        <v>39990</v>
      </c>
      <c r="C147" s="30">
        <v>1.67</v>
      </c>
      <c r="D147" s="28">
        <f t="shared" si="18"/>
        <v>-1.7804624633506707E-2</v>
      </c>
      <c r="E147" s="24">
        <v>3.65</v>
      </c>
      <c r="F147" s="28">
        <f t="shared" si="14"/>
        <v>-4.5523255024083699E-2</v>
      </c>
      <c r="G147" s="26">
        <v>130.5</v>
      </c>
      <c r="H147" s="28">
        <f t="shared" si="15"/>
        <v>-5.225069034387788E-2</v>
      </c>
      <c r="I147" s="26">
        <v>2.593</v>
      </c>
      <c r="J147" s="29">
        <f t="shared" si="16"/>
        <v>-2.1744133441603482E-2</v>
      </c>
      <c r="K147" s="5">
        <v>65.92</v>
      </c>
      <c r="L147" s="29">
        <f t="shared" si="17"/>
        <v>-2.4574206338383062E-2</v>
      </c>
    </row>
    <row r="148" spans="1:12" x14ac:dyDescent="0.2">
      <c r="A148" s="21">
        <f t="shared" si="13"/>
        <v>39997</v>
      </c>
      <c r="B148" s="22">
        <v>39997</v>
      </c>
      <c r="C148" s="30">
        <v>1.66</v>
      </c>
      <c r="D148" s="28">
        <f t="shared" si="18"/>
        <v>-6.0060240602119218E-3</v>
      </c>
      <c r="E148" s="24">
        <v>3.44</v>
      </c>
      <c r="F148" s="28">
        <f t="shared" si="14"/>
        <v>-5.9255696209093135E-2</v>
      </c>
      <c r="G148" s="26">
        <v>119.38</v>
      </c>
      <c r="H148" s="28">
        <f t="shared" si="15"/>
        <v>-8.9061544022244338E-2</v>
      </c>
      <c r="I148" s="26">
        <v>2.5630000000000002</v>
      </c>
      <c r="J148" s="29">
        <f t="shared" si="16"/>
        <v>-1.1637059174593211E-2</v>
      </c>
      <c r="K148" s="5">
        <v>66.87</v>
      </c>
      <c r="L148" s="29">
        <f t="shared" si="17"/>
        <v>1.4308550464670975E-2</v>
      </c>
    </row>
    <row r="149" spans="1:12" x14ac:dyDescent="0.2">
      <c r="A149" s="21">
        <f t="shared" si="13"/>
        <v>40004</v>
      </c>
      <c r="B149" s="22">
        <v>40004</v>
      </c>
      <c r="C149" s="30">
        <v>1.65</v>
      </c>
      <c r="D149" s="28">
        <f t="shared" si="18"/>
        <v>-6.0423144559625863E-3</v>
      </c>
      <c r="E149" s="24">
        <v>3.08</v>
      </c>
      <c r="F149" s="28">
        <f t="shared" si="14"/>
        <v>-0.11054187439982384</v>
      </c>
      <c r="G149" s="26">
        <v>98.8</v>
      </c>
      <c r="H149" s="28">
        <f t="shared" si="15"/>
        <v>-0.18921407798668172</v>
      </c>
      <c r="I149" s="26">
        <v>2.4790000000000001</v>
      </c>
      <c r="J149" s="29">
        <f t="shared" si="16"/>
        <v>-3.3323194328880666E-2</v>
      </c>
      <c r="K149" s="5">
        <v>60.87</v>
      </c>
      <c r="L149" s="29">
        <f t="shared" si="17"/>
        <v>-9.4009993560054184E-2</v>
      </c>
    </row>
    <row r="150" spans="1:12" x14ac:dyDescent="0.2">
      <c r="A150" s="21">
        <f t="shared" si="13"/>
        <v>40011</v>
      </c>
      <c r="B150" s="22">
        <v>40011</v>
      </c>
      <c r="C150" s="30">
        <v>1.58</v>
      </c>
      <c r="D150" s="28">
        <f t="shared" si="18"/>
        <v>-4.3350440873613741E-2</v>
      </c>
      <c r="E150" s="24">
        <v>3.09</v>
      </c>
      <c r="F150" s="28">
        <f t="shared" si="14"/>
        <v>3.2414939241710229E-3</v>
      </c>
      <c r="G150" s="26">
        <v>89.5</v>
      </c>
      <c r="H150" s="28">
        <f t="shared" si="15"/>
        <v>-9.8858979473012476E-2</v>
      </c>
      <c r="I150" s="26">
        <v>2.411</v>
      </c>
      <c r="J150" s="29">
        <f t="shared" si="16"/>
        <v>-2.7813653854019516E-2</v>
      </c>
      <c r="K150" s="5">
        <v>58.06</v>
      </c>
      <c r="L150" s="29">
        <f t="shared" si="17"/>
        <v>-4.7263483909349112E-2</v>
      </c>
    </row>
    <row r="151" spans="1:12" x14ac:dyDescent="0.2">
      <c r="A151" s="21">
        <f t="shared" si="13"/>
        <v>40018</v>
      </c>
      <c r="B151" s="22">
        <v>40018</v>
      </c>
      <c r="C151" s="30">
        <v>1.54</v>
      </c>
      <c r="D151" s="28">
        <f t="shared" si="18"/>
        <v>-2.564243061333767E-2</v>
      </c>
      <c r="E151" s="24">
        <v>3</v>
      </c>
      <c r="F151" s="28">
        <f t="shared" si="14"/>
        <v>-2.9558802241544391E-2</v>
      </c>
      <c r="G151" s="26">
        <v>83.75</v>
      </c>
      <c r="H151" s="28">
        <f t="shared" si="15"/>
        <v>-6.6402454575633887E-2</v>
      </c>
      <c r="I151" s="26">
        <v>2.46</v>
      </c>
      <c r="J151" s="29">
        <f t="shared" si="16"/>
        <v>2.0119750745237357E-2</v>
      </c>
      <c r="K151" s="5">
        <v>62.44</v>
      </c>
      <c r="L151" s="29">
        <f t="shared" si="17"/>
        <v>7.272913705074735E-2</v>
      </c>
    </row>
    <row r="152" spans="1:12" x14ac:dyDescent="0.2">
      <c r="A152" s="21">
        <f t="shared" si="13"/>
        <v>40025</v>
      </c>
      <c r="B152" s="22">
        <v>40025</v>
      </c>
      <c r="C152" s="30">
        <v>1.55</v>
      </c>
      <c r="D152" s="28">
        <f t="shared" si="18"/>
        <v>6.4725145056175196E-3</v>
      </c>
      <c r="E152" s="24">
        <v>3.05</v>
      </c>
      <c r="F152" s="28">
        <f t="shared" si="14"/>
        <v>1.6529301951210506E-2</v>
      </c>
      <c r="G152" s="26">
        <v>82</v>
      </c>
      <c r="H152" s="28">
        <f t="shared" si="15"/>
        <v>-2.1116923440922697E-2</v>
      </c>
      <c r="I152" s="26">
        <v>2.5110000000000001</v>
      </c>
      <c r="J152" s="29">
        <f t="shared" si="16"/>
        <v>2.051973023117654E-2</v>
      </c>
      <c r="K152" s="5">
        <v>65.42</v>
      </c>
      <c r="L152" s="29">
        <f t="shared" si="17"/>
        <v>4.6621926463006592E-2</v>
      </c>
    </row>
    <row r="153" spans="1:12" x14ac:dyDescent="0.2">
      <c r="A153" s="21">
        <f t="shared" si="13"/>
        <v>40032</v>
      </c>
      <c r="B153" s="22">
        <v>40032</v>
      </c>
      <c r="C153" s="30">
        <v>1.55</v>
      </c>
      <c r="D153" s="28">
        <f t="shared" si="18"/>
        <v>0</v>
      </c>
      <c r="E153" s="24">
        <v>3.32</v>
      </c>
      <c r="F153" s="28">
        <f t="shared" si="14"/>
        <v>8.4823192309076922E-2</v>
      </c>
      <c r="G153" s="26">
        <v>81.8</v>
      </c>
      <c r="H153" s="28">
        <f t="shared" si="15"/>
        <v>-2.4420036555517443E-3</v>
      </c>
      <c r="I153" s="26">
        <v>2.5960000000000001</v>
      </c>
      <c r="J153" s="29">
        <f t="shared" si="16"/>
        <v>3.3290718666395637E-2</v>
      </c>
      <c r="K153" s="5">
        <v>68.87</v>
      </c>
      <c r="L153" s="29">
        <f t="shared" si="17"/>
        <v>5.139264744636908E-2</v>
      </c>
    </row>
    <row r="154" spans="1:12" x14ac:dyDescent="0.2">
      <c r="A154" s="21">
        <f t="shared" si="13"/>
        <v>40039</v>
      </c>
      <c r="B154" s="22">
        <v>40039</v>
      </c>
      <c r="C154" s="30">
        <v>1.55</v>
      </c>
      <c r="D154" s="28">
        <f t="shared" si="18"/>
        <v>0</v>
      </c>
      <c r="E154" s="24">
        <v>3.1</v>
      </c>
      <c r="F154" s="28">
        <f t="shared" si="14"/>
        <v>-6.8562671437296538E-2</v>
      </c>
      <c r="G154" s="26">
        <v>79.5</v>
      </c>
      <c r="H154" s="28">
        <f t="shared" si="15"/>
        <v>-2.8520221948415147E-2</v>
      </c>
      <c r="I154" s="26">
        <v>2.58</v>
      </c>
      <c r="J154" s="29">
        <f t="shared" si="16"/>
        <v>-6.1823999083175391E-3</v>
      </c>
      <c r="K154" s="5">
        <v>69.73</v>
      </c>
      <c r="L154" s="29">
        <f t="shared" si="17"/>
        <v>1.2409971676312581E-2</v>
      </c>
    </row>
    <row r="155" spans="1:12" x14ac:dyDescent="0.2">
      <c r="A155" s="21">
        <f t="shared" si="13"/>
        <v>40046</v>
      </c>
      <c r="B155" s="22">
        <v>40046</v>
      </c>
      <c r="C155" s="30">
        <v>1.51</v>
      </c>
      <c r="D155" s="28">
        <f t="shared" si="18"/>
        <v>-2.614528010432236E-2</v>
      </c>
      <c r="E155" s="24">
        <v>3.03</v>
      </c>
      <c r="F155" s="28">
        <f t="shared" si="14"/>
        <v>-2.2839491969822903E-2</v>
      </c>
      <c r="G155" s="26">
        <v>77.55</v>
      </c>
      <c r="H155" s="28">
        <f t="shared" si="15"/>
        <v>-2.483413203773838E-2</v>
      </c>
      <c r="I155" s="26">
        <v>2.5720000000000001</v>
      </c>
      <c r="J155" s="29">
        <f t="shared" si="16"/>
        <v>-3.10559255815313E-3</v>
      </c>
      <c r="K155" s="5">
        <v>68.52</v>
      </c>
      <c r="L155" s="29">
        <f t="shared" si="17"/>
        <v>-1.750496777700036E-2</v>
      </c>
    </row>
    <row r="156" spans="1:12" x14ac:dyDescent="0.2">
      <c r="A156" s="21">
        <f t="shared" si="13"/>
        <v>40053</v>
      </c>
      <c r="B156" s="22">
        <v>40053</v>
      </c>
      <c r="C156" s="30">
        <v>1.54</v>
      </c>
      <c r="D156" s="28">
        <f t="shared" si="18"/>
        <v>1.9672765598704928E-2</v>
      </c>
      <c r="E156" s="24">
        <v>3.12</v>
      </c>
      <c r="F156" s="28">
        <f t="shared" si="14"/>
        <v>2.9270382300113237E-2</v>
      </c>
      <c r="G156" s="26">
        <v>76.5</v>
      </c>
      <c r="H156" s="28">
        <f t="shared" si="15"/>
        <v>-1.3632148790057644E-2</v>
      </c>
      <c r="I156" s="26">
        <v>2.5529999999999999</v>
      </c>
      <c r="J156" s="29">
        <f t="shared" si="16"/>
        <v>-7.4146681160261784E-3</v>
      </c>
      <c r="K156" s="5">
        <v>70.03</v>
      </c>
      <c r="L156" s="29">
        <f t="shared" si="17"/>
        <v>2.1798048211507298E-2</v>
      </c>
    </row>
    <row r="157" spans="1:12" x14ac:dyDescent="0.2">
      <c r="A157" s="21">
        <f t="shared" si="13"/>
        <v>40060</v>
      </c>
      <c r="B157" s="22">
        <v>40060</v>
      </c>
      <c r="C157" s="30">
        <v>1.53</v>
      </c>
      <c r="D157" s="28">
        <f t="shared" si="18"/>
        <v>-6.5146810211937538E-3</v>
      </c>
      <c r="E157" s="24">
        <v>3.12</v>
      </c>
      <c r="F157" s="28">
        <f t="shared" si="14"/>
        <v>0</v>
      </c>
      <c r="G157" s="26">
        <v>76.349999999999994</v>
      </c>
      <c r="H157" s="28">
        <f t="shared" si="15"/>
        <v>-1.9627091678488173E-3</v>
      </c>
      <c r="I157" s="26">
        <v>2.5190000000000001</v>
      </c>
      <c r="J157" s="29">
        <f t="shared" si="16"/>
        <v>-1.3407140888873521E-2</v>
      </c>
      <c r="K157" s="5">
        <v>65.78</v>
      </c>
      <c r="L157" s="29">
        <f t="shared" si="17"/>
        <v>-6.2607880906515423E-2</v>
      </c>
    </row>
    <row r="158" spans="1:12" x14ac:dyDescent="0.2">
      <c r="A158" s="21">
        <f t="shared" si="13"/>
        <v>40067</v>
      </c>
      <c r="B158" s="22">
        <v>40067</v>
      </c>
      <c r="C158" s="30">
        <v>1.53</v>
      </c>
      <c r="D158" s="28">
        <f t="shared" si="18"/>
        <v>0</v>
      </c>
      <c r="E158" s="24">
        <v>3.05</v>
      </c>
      <c r="F158" s="28">
        <f t="shared" si="14"/>
        <v>-2.2691411202070879E-2</v>
      </c>
      <c r="G158" s="26">
        <v>75.94</v>
      </c>
      <c r="H158" s="28">
        <f t="shared" si="15"/>
        <v>-5.3844768609850862E-3</v>
      </c>
      <c r="I158" s="26">
        <v>2.4990000000000001</v>
      </c>
      <c r="J158" s="29">
        <f t="shared" si="16"/>
        <v>-7.9713455176578692E-3</v>
      </c>
      <c r="K158" s="5">
        <v>67.23</v>
      </c>
      <c r="L158" s="29">
        <f t="shared" si="17"/>
        <v>2.1803735720034384E-2</v>
      </c>
    </row>
    <row r="159" spans="1:12" x14ac:dyDescent="0.2">
      <c r="A159" s="21">
        <f t="shared" si="13"/>
        <v>40074</v>
      </c>
      <c r="B159" s="22">
        <v>40074</v>
      </c>
      <c r="C159" s="30">
        <v>1.53</v>
      </c>
      <c r="D159" s="28">
        <f t="shared" si="18"/>
        <v>0</v>
      </c>
      <c r="E159" s="24">
        <v>3.18</v>
      </c>
      <c r="F159" s="28">
        <f t="shared" si="14"/>
        <v>4.1739606172765342E-2</v>
      </c>
      <c r="G159" s="26">
        <v>80.55</v>
      </c>
      <c r="H159" s="28">
        <f t="shared" si="15"/>
        <v>5.8934554819327134E-2</v>
      </c>
      <c r="I159" s="26">
        <v>2.4769999999999999</v>
      </c>
      <c r="J159" s="29">
        <f t="shared" si="16"/>
        <v>-8.8425013455929527E-3</v>
      </c>
      <c r="K159" s="5">
        <v>67.650000000000006</v>
      </c>
      <c r="L159" s="29">
        <f t="shared" si="17"/>
        <v>6.2277781358517281E-3</v>
      </c>
    </row>
    <row r="160" spans="1:12" x14ac:dyDescent="0.2">
      <c r="A160" s="21">
        <f t="shared" si="13"/>
        <v>40081</v>
      </c>
      <c r="B160" s="22">
        <v>40081</v>
      </c>
      <c r="C160" s="30">
        <v>1.55</v>
      </c>
      <c r="D160" s="28">
        <f t="shared" si="18"/>
        <v>1.2987195526811112E-2</v>
      </c>
      <c r="E160" s="24">
        <v>3.13</v>
      </c>
      <c r="F160" s="28">
        <f t="shared" si="14"/>
        <v>-1.5848192240023727E-2</v>
      </c>
      <c r="G160" s="26">
        <v>85.55</v>
      </c>
      <c r="H160" s="28">
        <f t="shared" si="15"/>
        <v>6.0222890715219038E-2</v>
      </c>
      <c r="I160" s="26">
        <v>2.4249999999999998</v>
      </c>
      <c r="J160" s="29">
        <f t="shared" si="16"/>
        <v>-2.1216626117775989E-2</v>
      </c>
      <c r="K160" s="5">
        <v>66.8</v>
      </c>
      <c r="L160" s="29">
        <f t="shared" si="17"/>
        <v>-1.2644274074197125E-2</v>
      </c>
    </row>
    <row r="161" spans="1:12" x14ac:dyDescent="0.2">
      <c r="A161" s="21">
        <f t="shared" si="13"/>
        <v>40088</v>
      </c>
      <c r="B161" s="22">
        <v>40088</v>
      </c>
      <c r="C161" s="30">
        <v>1.58</v>
      </c>
      <c r="D161" s="28">
        <f t="shared" si="18"/>
        <v>1.9169916107720123E-2</v>
      </c>
      <c r="E161" s="24">
        <v>3.3</v>
      </c>
      <c r="F161" s="28">
        <f t="shared" si="14"/>
        <v>5.2889463920372637E-2</v>
      </c>
      <c r="G161" s="26">
        <v>88.3</v>
      </c>
      <c r="H161" s="28">
        <f t="shared" si="15"/>
        <v>3.1639107271711937E-2</v>
      </c>
      <c r="I161" s="26">
        <v>2.3959999999999999</v>
      </c>
      <c r="J161" s="29">
        <f t="shared" si="16"/>
        <v>-1.2030844136243583E-2</v>
      </c>
      <c r="K161" s="5">
        <v>64.13</v>
      </c>
      <c r="L161" s="29">
        <f t="shared" si="17"/>
        <v>-4.0790807381828463E-2</v>
      </c>
    </row>
    <row r="162" spans="1:12" x14ac:dyDescent="0.2">
      <c r="A162" s="21">
        <f t="shared" si="13"/>
        <v>40095</v>
      </c>
      <c r="B162" s="22">
        <v>40095</v>
      </c>
      <c r="C162" s="30">
        <v>1.67</v>
      </c>
      <c r="D162" s="28">
        <f t="shared" si="18"/>
        <v>5.5398779389788169E-2</v>
      </c>
      <c r="E162" s="24">
        <v>3.43</v>
      </c>
      <c r="F162" s="28">
        <f t="shared" si="14"/>
        <v>3.8637792705414134E-2</v>
      </c>
      <c r="G162" s="26">
        <v>96.65</v>
      </c>
      <c r="H162" s="28">
        <f t="shared" si="15"/>
        <v>9.0356098044425653E-2</v>
      </c>
      <c r="I162" s="26">
        <v>2.4319999999999999</v>
      </c>
      <c r="J162" s="29">
        <f t="shared" si="16"/>
        <v>1.49132838507176E-2</v>
      </c>
      <c r="K162" s="5">
        <v>66.319999999999993</v>
      </c>
      <c r="L162" s="29">
        <f t="shared" si="17"/>
        <v>3.3579237666267886E-2</v>
      </c>
    </row>
    <row r="163" spans="1:12" x14ac:dyDescent="0.2">
      <c r="A163" s="21">
        <f t="shared" si="13"/>
        <v>40102</v>
      </c>
      <c r="B163" s="22">
        <v>40102</v>
      </c>
      <c r="C163" s="30">
        <v>1.78</v>
      </c>
      <c r="D163" s="28">
        <f t="shared" si="18"/>
        <v>6.3789737875330002E-2</v>
      </c>
      <c r="E163" s="24">
        <v>3.67</v>
      </c>
      <c r="F163" s="28">
        <f t="shared" si="14"/>
        <v>6.7631400888630275E-2</v>
      </c>
      <c r="G163" s="26">
        <v>104</v>
      </c>
      <c r="H163" s="28">
        <f t="shared" si="15"/>
        <v>7.3294693487032783E-2</v>
      </c>
      <c r="I163" s="26">
        <v>2.532</v>
      </c>
      <c r="J163" s="29">
        <f t="shared" si="16"/>
        <v>4.0295540178009237E-2</v>
      </c>
      <c r="K163" s="5">
        <v>69.62</v>
      </c>
      <c r="L163" s="29">
        <f t="shared" si="17"/>
        <v>4.8560371556253465E-2</v>
      </c>
    </row>
    <row r="164" spans="1:12" x14ac:dyDescent="0.2">
      <c r="A164" s="21">
        <f t="shared" si="13"/>
        <v>40109</v>
      </c>
      <c r="B164" s="22">
        <v>40109</v>
      </c>
      <c r="C164" s="30">
        <v>1.88</v>
      </c>
      <c r="D164" s="28">
        <f t="shared" si="18"/>
        <v>5.4658412537863979E-2</v>
      </c>
      <c r="E164" s="24">
        <v>3.78</v>
      </c>
      <c r="F164" s="28">
        <f t="shared" si="14"/>
        <v>2.9532347565017308E-2</v>
      </c>
      <c r="G164" s="26">
        <v>110.15</v>
      </c>
      <c r="H164" s="28">
        <f t="shared" si="15"/>
        <v>5.745217410697958E-2</v>
      </c>
      <c r="I164" s="26">
        <v>2.641</v>
      </c>
      <c r="J164" s="29">
        <f t="shared" si="16"/>
        <v>4.2148129033065314E-2</v>
      </c>
      <c r="K164" s="5">
        <v>74.8</v>
      </c>
      <c r="L164" s="29">
        <f t="shared" si="17"/>
        <v>7.1766002597138612E-2</v>
      </c>
    </row>
    <row r="165" spans="1:12" x14ac:dyDescent="0.2">
      <c r="A165" s="21">
        <f t="shared" si="13"/>
        <v>40116</v>
      </c>
      <c r="B165" s="22">
        <v>40116</v>
      </c>
      <c r="C165" s="30">
        <v>1.94</v>
      </c>
      <c r="D165" s="28">
        <f t="shared" si="18"/>
        <v>3.1416196233378914E-2</v>
      </c>
      <c r="E165" s="24">
        <v>3.66</v>
      </c>
      <c r="F165" s="28">
        <f t="shared" si="14"/>
        <v>-3.2260862218221324E-2</v>
      </c>
      <c r="G165" s="26">
        <v>114.75</v>
      </c>
      <c r="H165" s="28">
        <f t="shared" si="15"/>
        <v>4.0912775692302394E-2</v>
      </c>
      <c r="I165" s="26">
        <v>2.66</v>
      </c>
      <c r="J165" s="29">
        <f t="shared" si="16"/>
        <v>7.168489478612497E-3</v>
      </c>
      <c r="K165" s="5">
        <v>75.64</v>
      </c>
      <c r="L165" s="29">
        <f t="shared" si="17"/>
        <v>1.1167358809825187E-2</v>
      </c>
    </row>
    <row r="166" spans="1:12" x14ac:dyDescent="0.2">
      <c r="A166" s="21">
        <f t="shared" si="13"/>
        <v>40123</v>
      </c>
      <c r="B166" s="22">
        <v>40123</v>
      </c>
      <c r="C166" s="30">
        <v>1.93</v>
      </c>
      <c r="D166" s="28">
        <f t="shared" si="18"/>
        <v>-5.1679701584425612E-3</v>
      </c>
      <c r="E166" s="24">
        <v>3.61</v>
      </c>
      <c r="F166" s="28">
        <f t="shared" si="14"/>
        <v>-1.3755375068485457E-2</v>
      </c>
      <c r="G166" s="26">
        <v>115.5</v>
      </c>
      <c r="H166" s="28">
        <f t="shared" si="15"/>
        <v>6.5146810211936723E-3</v>
      </c>
      <c r="I166" s="26">
        <v>2.6269999999999998</v>
      </c>
      <c r="J166" s="29">
        <f t="shared" si="16"/>
        <v>-1.2483612090204996E-2</v>
      </c>
      <c r="K166" s="5">
        <v>75.31</v>
      </c>
      <c r="L166" s="29">
        <f t="shared" si="17"/>
        <v>-4.3723156769963764E-3</v>
      </c>
    </row>
    <row r="167" spans="1:12" x14ac:dyDescent="0.2">
      <c r="A167" s="21">
        <f t="shared" si="13"/>
        <v>40130</v>
      </c>
      <c r="B167" s="22">
        <v>40130</v>
      </c>
      <c r="C167" s="30">
        <v>1.94</v>
      </c>
      <c r="D167" s="28">
        <f t="shared" si="18"/>
        <v>5.1679701584425976E-3</v>
      </c>
      <c r="E167" s="24">
        <v>3.63</v>
      </c>
      <c r="F167" s="28">
        <f t="shared" si="14"/>
        <v>5.5248759319698072E-3</v>
      </c>
      <c r="G167" s="26">
        <v>117.25</v>
      </c>
      <c r="H167" s="28">
        <f t="shared" si="15"/>
        <v>1.5037877364540502E-2</v>
      </c>
      <c r="I167" s="26">
        <v>2.585</v>
      </c>
      <c r="J167" s="29">
        <f t="shared" si="16"/>
        <v>-1.6117002743010256E-2</v>
      </c>
      <c r="K167" s="5">
        <v>74.45</v>
      </c>
      <c r="L167" s="29">
        <f t="shared" si="17"/>
        <v>-1.1485168983242299E-2</v>
      </c>
    </row>
    <row r="168" spans="1:12" x14ac:dyDescent="0.2">
      <c r="A168" s="21">
        <f t="shared" si="13"/>
        <v>40137</v>
      </c>
      <c r="B168" s="22">
        <v>40137</v>
      </c>
      <c r="C168" s="30">
        <v>2</v>
      </c>
      <c r="D168" s="28">
        <f t="shared" si="18"/>
        <v>3.0459207484708654E-2</v>
      </c>
      <c r="E168" s="24">
        <v>3.74</v>
      </c>
      <c r="F168" s="28">
        <f t="shared" si="14"/>
        <v>2.9852963149681343E-2</v>
      </c>
      <c r="G168" s="26">
        <v>118.75</v>
      </c>
      <c r="H168" s="28">
        <f t="shared" si="15"/>
        <v>1.2712035588361944E-2</v>
      </c>
      <c r="I168" s="26">
        <v>2.6030000000000002</v>
      </c>
      <c r="J168" s="29">
        <f t="shared" si="16"/>
        <v>6.9391180520359799E-3</v>
      </c>
      <c r="K168" s="5">
        <v>74.36</v>
      </c>
      <c r="L168" s="29">
        <f t="shared" si="17"/>
        <v>-1.209596276774739E-3</v>
      </c>
    </row>
    <row r="169" spans="1:12" x14ac:dyDescent="0.2">
      <c r="A169" s="21">
        <f t="shared" si="13"/>
        <v>40144</v>
      </c>
      <c r="B169" s="22">
        <v>40144</v>
      </c>
      <c r="C169" s="30">
        <v>2.0699999999999998</v>
      </c>
      <c r="D169" s="28">
        <f t="shared" si="18"/>
        <v>3.4401426717332317E-2</v>
      </c>
      <c r="E169" s="24">
        <v>3.6</v>
      </c>
      <c r="F169" s="28">
        <f t="shared" si="14"/>
        <v>-3.8151765964376291E-2</v>
      </c>
      <c r="G169" s="26">
        <v>117.38</v>
      </c>
      <c r="H169" s="28">
        <f t="shared" si="15"/>
        <v>-1.1603907784562169E-2</v>
      </c>
      <c r="I169" s="26">
        <v>2.5939999999999999</v>
      </c>
      <c r="J169" s="29">
        <f t="shared" si="16"/>
        <v>-3.4635401181763322E-3</v>
      </c>
      <c r="K169" s="5">
        <v>73.34</v>
      </c>
      <c r="L169" s="29">
        <f t="shared" si="17"/>
        <v>-1.3812000210063211E-2</v>
      </c>
    </row>
    <row r="170" spans="1:12" x14ac:dyDescent="0.2">
      <c r="A170" s="21">
        <f t="shared" si="13"/>
        <v>40151</v>
      </c>
      <c r="B170" s="22">
        <v>40151</v>
      </c>
      <c r="C170" s="30">
        <v>2.0499999999999998</v>
      </c>
      <c r="D170" s="28">
        <f t="shared" si="18"/>
        <v>-9.7088141269609379E-3</v>
      </c>
      <c r="E170" s="24">
        <v>3.69</v>
      </c>
      <c r="F170" s="28">
        <f t="shared" si="14"/>
        <v>2.4692612590371414E-2</v>
      </c>
      <c r="G170" s="26">
        <v>116.6</v>
      </c>
      <c r="H170" s="28">
        <f t="shared" si="15"/>
        <v>-6.6672612137965012E-3</v>
      </c>
      <c r="I170" s="26">
        <v>2.601</v>
      </c>
      <c r="J170" s="29">
        <f t="shared" si="16"/>
        <v>2.6949005722623764E-3</v>
      </c>
      <c r="K170" s="5">
        <v>73.52</v>
      </c>
      <c r="L170" s="29">
        <f t="shared" si="17"/>
        <v>2.4513154042515952E-3</v>
      </c>
    </row>
    <row r="171" spans="1:12" x14ac:dyDescent="0.2">
      <c r="A171" s="21">
        <f t="shared" si="13"/>
        <v>40158</v>
      </c>
      <c r="B171" s="22">
        <v>40158</v>
      </c>
      <c r="C171" s="30">
        <v>2.0499999999999998</v>
      </c>
      <c r="D171" s="28">
        <f t="shared" si="18"/>
        <v>0</v>
      </c>
      <c r="E171" s="24">
        <v>3.44</v>
      </c>
      <c r="F171" s="28">
        <f t="shared" si="14"/>
        <v>-7.0154986667128869E-2</v>
      </c>
      <c r="G171" s="26">
        <v>115.65</v>
      </c>
      <c r="H171" s="28">
        <f t="shared" si="15"/>
        <v>-8.1808852389437074E-3</v>
      </c>
      <c r="I171" s="26">
        <v>2.56</v>
      </c>
      <c r="J171" s="29">
        <f t="shared" si="16"/>
        <v>-1.5888727975043353E-2</v>
      </c>
      <c r="K171" s="5">
        <v>71.78</v>
      </c>
      <c r="L171" s="29">
        <f t="shared" si="17"/>
        <v>-2.3951592327970297E-2</v>
      </c>
    </row>
    <row r="172" spans="1:12" x14ac:dyDescent="0.2">
      <c r="A172" s="21">
        <f t="shared" si="13"/>
        <v>40165</v>
      </c>
      <c r="B172" s="22">
        <v>40165</v>
      </c>
      <c r="C172" s="30">
        <v>1.96</v>
      </c>
      <c r="D172" s="28">
        <f t="shared" si="18"/>
        <v>-4.4895319907890877E-2</v>
      </c>
      <c r="E172" s="24">
        <v>3.7</v>
      </c>
      <c r="F172" s="28">
        <f t="shared" si="14"/>
        <v>7.2861348264871895E-2</v>
      </c>
      <c r="G172" s="26">
        <v>110.75</v>
      </c>
      <c r="H172" s="28">
        <f t="shared" si="15"/>
        <v>-4.3292979752203246E-2</v>
      </c>
      <c r="I172" s="26">
        <v>2.5459999999999998</v>
      </c>
      <c r="J172" s="29">
        <f t="shared" si="16"/>
        <v>-5.4837583562564645E-3</v>
      </c>
      <c r="K172" s="5">
        <v>68.510000000000005</v>
      </c>
      <c r="L172" s="29">
        <f t="shared" si="17"/>
        <v>-4.6626165704653472E-2</v>
      </c>
    </row>
    <row r="173" spans="1:12" ht="15" x14ac:dyDescent="0.25">
      <c r="A173" s="31">
        <f t="shared" si="13"/>
        <v>40172</v>
      </c>
      <c r="B173" s="36">
        <v>40172</v>
      </c>
      <c r="C173" s="37">
        <v>1.87</v>
      </c>
      <c r="D173" s="28">
        <f t="shared" si="18"/>
        <v>-4.7006042375930486E-2</v>
      </c>
      <c r="E173" s="38">
        <v>3.67</v>
      </c>
      <c r="F173" s="28">
        <f t="shared" si="14"/>
        <v>-8.1411575836998849E-3</v>
      </c>
      <c r="G173" s="39">
        <v>108.75</v>
      </c>
      <c r="H173" s="28">
        <f t="shared" si="15"/>
        <v>-1.8223738956451498E-2</v>
      </c>
      <c r="I173" s="26">
        <v>2.5640000000000001</v>
      </c>
      <c r="J173" s="29">
        <f t="shared" si="16"/>
        <v>7.0450389232088384E-3</v>
      </c>
      <c r="K173" s="5">
        <v>69.94</v>
      </c>
      <c r="L173" s="29">
        <f t="shared" si="17"/>
        <v>2.0658011620421982E-2</v>
      </c>
    </row>
    <row r="174" spans="1:12" x14ac:dyDescent="0.2">
      <c r="A174" s="21">
        <f t="shared" si="13"/>
        <v>40179</v>
      </c>
      <c r="B174" s="22">
        <v>40179</v>
      </c>
      <c r="C174" s="30">
        <v>1.87</v>
      </c>
      <c r="D174" s="28">
        <f t="shared" si="18"/>
        <v>0</v>
      </c>
      <c r="E174" s="24">
        <v>3.81</v>
      </c>
      <c r="F174" s="28">
        <f t="shared" si="14"/>
        <v>3.7437527072130806E-2</v>
      </c>
      <c r="G174" s="26">
        <v>106.25</v>
      </c>
      <c r="H174" s="28">
        <f t="shared" si="15"/>
        <v>-2.3256862164267235E-2</v>
      </c>
      <c r="I174" s="26">
        <v>2.6269999999999998</v>
      </c>
      <c r="J174" s="29">
        <f t="shared" si="16"/>
        <v>2.4273971644979107E-2</v>
      </c>
      <c r="K174" s="5">
        <v>74.010000000000005</v>
      </c>
      <c r="L174" s="29">
        <f t="shared" si="17"/>
        <v>5.656248757414524E-2</v>
      </c>
    </row>
    <row r="175" spans="1:12" x14ac:dyDescent="0.2">
      <c r="A175" s="21">
        <f t="shared" si="13"/>
        <v>40186</v>
      </c>
      <c r="B175" s="22">
        <v>40186</v>
      </c>
      <c r="C175" s="30">
        <v>1.87</v>
      </c>
      <c r="D175" s="28">
        <f t="shared" si="18"/>
        <v>0</v>
      </c>
      <c r="E175" s="24">
        <v>3.86</v>
      </c>
      <c r="F175" s="28">
        <f t="shared" si="14"/>
        <v>1.3037994338129801E-2</v>
      </c>
      <c r="G175" s="26">
        <v>103</v>
      </c>
      <c r="H175" s="28">
        <f t="shared" si="15"/>
        <v>-3.1065819574890487E-2</v>
      </c>
      <c r="I175" s="26">
        <v>2.7170000000000001</v>
      </c>
      <c r="J175" s="29">
        <f t="shared" si="16"/>
        <v>3.3685819740807921E-2</v>
      </c>
      <c r="K175" s="5">
        <v>77.97</v>
      </c>
      <c r="L175" s="29">
        <f t="shared" si="17"/>
        <v>5.2123918112133377E-2</v>
      </c>
    </row>
    <row r="176" spans="1:12" x14ac:dyDescent="0.2">
      <c r="A176" s="21">
        <f t="shared" si="13"/>
        <v>40193</v>
      </c>
      <c r="B176" s="22">
        <v>40193</v>
      </c>
      <c r="C176" s="30">
        <v>1.86</v>
      </c>
      <c r="D176" s="28">
        <f t="shared" si="18"/>
        <v>-5.3619431413853991E-3</v>
      </c>
      <c r="E176" s="24">
        <v>3.7</v>
      </c>
      <c r="F176" s="28">
        <f t="shared" si="14"/>
        <v>-4.2334363826560653E-2</v>
      </c>
      <c r="G176" s="26">
        <v>101.5</v>
      </c>
      <c r="H176" s="28">
        <f t="shared" si="15"/>
        <v>-1.4670189747793742E-2</v>
      </c>
      <c r="I176" s="26">
        <v>2.7029999999999998</v>
      </c>
      <c r="J176" s="29">
        <f t="shared" si="16"/>
        <v>-5.1660631499002643E-3</v>
      </c>
      <c r="K176" s="5">
        <v>77.900000000000006</v>
      </c>
      <c r="L176" s="29">
        <f t="shared" si="17"/>
        <v>-8.9818444480589481E-4</v>
      </c>
    </row>
    <row r="177" spans="1:12" x14ac:dyDescent="0.2">
      <c r="A177" s="21">
        <f t="shared" si="13"/>
        <v>40200</v>
      </c>
      <c r="B177" s="22">
        <v>40200</v>
      </c>
      <c r="C177" s="30">
        <v>1.79</v>
      </c>
      <c r="D177" s="28">
        <f t="shared" si="18"/>
        <v>-3.836086787244633E-2</v>
      </c>
      <c r="E177" s="24">
        <v>3.43</v>
      </c>
      <c r="F177" s="28">
        <f t="shared" si="14"/>
        <v>-7.5772558472330248E-2</v>
      </c>
      <c r="G177" s="26">
        <v>100.5</v>
      </c>
      <c r="H177" s="28">
        <f t="shared" si="15"/>
        <v>-9.9010709827115698E-3</v>
      </c>
      <c r="I177" s="26">
        <v>2.6659999999999999</v>
      </c>
      <c r="J177" s="29">
        <f t="shared" si="16"/>
        <v>-1.3783045537793637E-2</v>
      </c>
      <c r="K177" s="5">
        <v>74.290000000000006</v>
      </c>
      <c r="L177" s="29">
        <f t="shared" si="17"/>
        <v>-4.7449599712987761E-2</v>
      </c>
    </row>
    <row r="178" spans="1:12" x14ac:dyDescent="0.2">
      <c r="A178" s="21">
        <f t="shared" si="13"/>
        <v>40207</v>
      </c>
      <c r="B178" s="22">
        <v>40207</v>
      </c>
      <c r="C178" s="30">
        <v>1.75</v>
      </c>
      <c r="D178" s="28">
        <f t="shared" si="18"/>
        <v>-2.2599831917240919E-2</v>
      </c>
      <c r="E178" s="24">
        <v>3.41</v>
      </c>
      <c r="F178" s="28">
        <f t="shared" si="14"/>
        <v>-5.8479698824230996E-3</v>
      </c>
      <c r="G178" s="26">
        <v>102.25</v>
      </c>
      <c r="H178" s="28">
        <f t="shared" si="15"/>
        <v>1.7263067423780771E-2</v>
      </c>
      <c r="I178" s="26">
        <v>2.6179999999999999</v>
      </c>
      <c r="J178" s="29">
        <f t="shared" si="16"/>
        <v>-1.8168554268808711E-2</v>
      </c>
      <c r="K178" s="5">
        <v>71.290000000000006</v>
      </c>
      <c r="L178" s="29">
        <f t="shared" si="17"/>
        <v>-4.1220288034177814E-2</v>
      </c>
    </row>
    <row r="179" spans="1:12" x14ac:dyDescent="0.2">
      <c r="A179" s="21">
        <f t="shared" si="13"/>
        <v>40214</v>
      </c>
      <c r="B179" s="22">
        <v>40214</v>
      </c>
      <c r="C179" s="30">
        <v>1.73</v>
      </c>
      <c r="D179" s="28">
        <f t="shared" si="18"/>
        <v>-1.1494379425735134E-2</v>
      </c>
      <c r="E179" s="24">
        <v>3.37</v>
      </c>
      <c r="F179" s="28">
        <f t="shared" si="14"/>
        <v>-1.1799546931155055E-2</v>
      </c>
      <c r="G179" s="26">
        <v>103.75</v>
      </c>
      <c r="H179" s="28">
        <f t="shared" si="15"/>
        <v>1.456336418789651E-2</v>
      </c>
      <c r="I179" s="26">
        <v>2.6110000000000002</v>
      </c>
      <c r="J179" s="29">
        <f t="shared" si="16"/>
        <v>-2.6773777707162919E-3</v>
      </c>
      <c r="K179" s="5">
        <v>70.760000000000005</v>
      </c>
      <c r="L179" s="29">
        <f t="shared" si="17"/>
        <v>-7.4621958379525654E-3</v>
      </c>
    </row>
    <row r="180" spans="1:12" x14ac:dyDescent="0.2">
      <c r="A180" s="21">
        <f t="shared" si="13"/>
        <v>40221</v>
      </c>
      <c r="B180" s="22">
        <v>40221</v>
      </c>
      <c r="C180" s="30">
        <v>1.72</v>
      </c>
      <c r="D180" s="28">
        <f t="shared" si="18"/>
        <v>-5.7971176843259579E-3</v>
      </c>
      <c r="E180" s="24">
        <v>3.42</v>
      </c>
      <c r="F180" s="28">
        <f t="shared" si="14"/>
        <v>1.4727806710243386E-2</v>
      </c>
      <c r="G180" s="26">
        <v>103.05</v>
      </c>
      <c r="H180" s="28">
        <f t="shared" si="15"/>
        <v>-6.7698517743396943E-3</v>
      </c>
      <c r="I180" s="26">
        <v>2.5630000000000002</v>
      </c>
      <c r="J180" s="29">
        <f t="shared" si="16"/>
        <v>-1.8554842335057716E-2</v>
      </c>
      <c r="K180" s="5">
        <v>70.13</v>
      </c>
      <c r="L180" s="29">
        <f t="shared" si="17"/>
        <v>-8.9432067427655648E-3</v>
      </c>
    </row>
    <row r="181" spans="1:12" x14ac:dyDescent="0.2">
      <c r="A181" s="21">
        <f t="shared" si="13"/>
        <v>40228</v>
      </c>
      <c r="B181" s="22">
        <v>40228</v>
      </c>
      <c r="C181" s="30">
        <v>1.67</v>
      </c>
      <c r="D181" s="28">
        <f t="shared" si="18"/>
        <v>-2.950066439669799E-2</v>
      </c>
      <c r="E181" s="24">
        <v>3.47</v>
      </c>
      <c r="F181" s="28">
        <f t="shared" si="14"/>
        <v>1.4514042884254012E-2</v>
      </c>
      <c r="G181" s="26">
        <v>102</v>
      </c>
      <c r="H181" s="28">
        <f t="shared" si="15"/>
        <v>-1.0241494052196907E-2</v>
      </c>
      <c r="I181" s="26">
        <v>2.621</v>
      </c>
      <c r="J181" s="29">
        <f t="shared" si="16"/>
        <v>2.2377476959335146E-2</v>
      </c>
      <c r="K181" s="5">
        <v>72.87</v>
      </c>
      <c r="L181" s="29">
        <f t="shared" si="17"/>
        <v>3.8326369133371792E-2</v>
      </c>
    </row>
    <row r="182" spans="1:12" x14ac:dyDescent="0.2">
      <c r="A182" s="21">
        <f t="shared" si="13"/>
        <v>40235</v>
      </c>
      <c r="B182" s="22">
        <v>40235</v>
      </c>
      <c r="C182" s="30">
        <v>1.63</v>
      </c>
      <c r="D182" s="28">
        <f t="shared" si="18"/>
        <v>-2.4243611609992739E-2</v>
      </c>
      <c r="E182" s="24">
        <v>3.55</v>
      </c>
      <c r="F182" s="28">
        <f t="shared" si="14"/>
        <v>2.2793009528556566E-2</v>
      </c>
      <c r="G182" s="26">
        <v>102</v>
      </c>
      <c r="H182" s="28">
        <f t="shared" si="15"/>
        <v>0</v>
      </c>
      <c r="I182" s="26">
        <v>2.6709999999999998</v>
      </c>
      <c r="J182" s="29">
        <f t="shared" si="16"/>
        <v>1.889700978655447E-2</v>
      </c>
      <c r="K182" s="5">
        <v>75.510000000000005</v>
      </c>
      <c r="L182" s="29">
        <f t="shared" si="17"/>
        <v>3.5588066133143435E-2</v>
      </c>
    </row>
    <row r="183" spans="1:12" x14ac:dyDescent="0.2">
      <c r="A183" s="21">
        <f t="shared" si="13"/>
        <v>40242</v>
      </c>
      <c r="B183" s="22">
        <v>40242</v>
      </c>
      <c r="C183" s="30">
        <v>1.6</v>
      </c>
      <c r="D183" s="28">
        <f t="shared" si="18"/>
        <v>-1.8576385572935304E-2</v>
      </c>
      <c r="E183" s="24">
        <v>3.61</v>
      </c>
      <c r="F183" s="28">
        <f t="shared" si="14"/>
        <v>1.6760168857465101E-2</v>
      </c>
      <c r="G183" s="26">
        <v>101.8</v>
      </c>
      <c r="H183" s="28">
        <f t="shared" si="15"/>
        <v>-1.9627091678487058E-3</v>
      </c>
      <c r="I183" s="26">
        <v>2.7210000000000001</v>
      </c>
      <c r="J183" s="29">
        <f t="shared" si="16"/>
        <v>1.8546525673285585E-2</v>
      </c>
      <c r="K183" s="5">
        <v>75.78</v>
      </c>
      <c r="L183" s="29">
        <f t="shared" si="17"/>
        <v>3.5693077751204364E-3</v>
      </c>
    </row>
    <row r="184" spans="1:12" x14ac:dyDescent="0.2">
      <c r="A184" s="21">
        <f t="shared" si="13"/>
        <v>40249</v>
      </c>
      <c r="B184" s="22">
        <v>40249</v>
      </c>
      <c r="C184" s="30">
        <v>1.55</v>
      </c>
      <c r="D184" s="28">
        <f t="shared" si="18"/>
        <v>-3.1748698314580298E-2</v>
      </c>
      <c r="E184" s="24">
        <v>3.47</v>
      </c>
      <c r="F184" s="28">
        <f t="shared" si="14"/>
        <v>-3.9553178386021688E-2</v>
      </c>
      <c r="G184" s="26">
        <v>90.7</v>
      </c>
      <c r="H184" s="28">
        <f t="shared" si="15"/>
        <v>-0.11545274699533145</v>
      </c>
      <c r="I184" s="26">
        <v>2.76</v>
      </c>
      <c r="J184" s="29">
        <f t="shared" si="16"/>
        <v>1.4231219927949295E-2</v>
      </c>
      <c r="K184" s="5">
        <v>77.34</v>
      </c>
      <c r="L184" s="29">
        <f t="shared" si="17"/>
        <v>2.0376880588696199E-2</v>
      </c>
    </row>
    <row r="185" spans="1:12" x14ac:dyDescent="0.2">
      <c r="A185" s="21">
        <f t="shared" si="13"/>
        <v>40256</v>
      </c>
      <c r="B185" s="22">
        <v>40256</v>
      </c>
      <c r="C185" s="30">
        <v>1.5</v>
      </c>
      <c r="D185" s="28">
        <f t="shared" si="18"/>
        <v>-3.2789822822990956E-2</v>
      </c>
      <c r="E185" s="24">
        <v>3.46</v>
      </c>
      <c r="F185" s="28">
        <f t="shared" si="14"/>
        <v>-2.8860048891349867E-3</v>
      </c>
      <c r="G185" s="26">
        <v>88.15</v>
      </c>
      <c r="H185" s="28">
        <f t="shared" si="15"/>
        <v>-2.8517448277211692E-2</v>
      </c>
      <c r="I185" s="26">
        <v>2.7919999999999998</v>
      </c>
      <c r="J185" s="29">
        <f t="shared" si="16"/>
        <v>1.1527505171067414E-2</v>
      </c>
      <c r="K185" s="5">
        <v>77.260000000000005</v>
      </c>
      <c r="L185" s="29">
        <f t="shared" si="17"/>
        <v>-1.03492894101573E-3</v>
      </c>
    </row>
    <row r="186" spans="1:12" x14ac:dyDescent="0.2">
      <c r="A186" s="21">
        <f t="shared" si="13"/>
        <v>40263</v>
      </c>
      <c r="B186" s="22">
        <v>40263</v>
      </c>
      <c r="C186" s="30">
        <v>1.46</v>
      </c>
      <c r="D186" s="28">
        <f t="shared" si="18"/>
        <v>-2.7028672387919374E-2</v>
      </c>
      <c r="E186" s="24">
        <v>3.45</v>
      </c>
      <c r="F186" s="28">
        <f t="shared" si="14"/>
        <v>-2.8943580263644146E-3</v>
      </c>
      <c r="G186" s="26">
        <v>95</v>
      </c>
      <c r="H186" s="28">
        <f t="shared" si="15"/>
        <v>7.4836982756661591E-2</v>
      </c>
      <c r="I186" s="26">
        <v>2.7650000000000001</v>
      </c>
      <c r="J186" s="29">
        <f t="shared" si="16"/>
        <v>-9.7175499258277571E-3</v>
      </c>
      <c r="K186" s="5">
        <v>76.760000000000005</v>
      </c>
      <c r="L186" s="29">
        <f t="shared" si="17"/>
        <v>-6.4926860986361159E-3</v>
      </c>
    </row>
    <row r="187" spans="1:12" x14ac:dyDescent="0.2">
      <c r="A187" s="21">
        <f t="shared" si="13"/>
        <v>40270</v>
      </c>
      <c r="B187" s="22">
        <v>40270</v>
      </c>
      <c r="C187" s="30">
        <v>1.44</v>
      </c>
      <c r="D187" s="28">
        <f t="shared" si="18"/>
        <v>-1.3793322132335873E-2</v>
      </c>
      <c r="E187" s="24">
        <v>3.34</v>
      </c>
      <c r="F187" s="28">
        <f t="shared" si="14"/>
        <v>-3.2403424054659416E-2</v>
      </c>
      <c r="G187" s="26">
        <v>94.8</v>
      </c>
      <c r="H187" s="28">
        <f t="shared" si="15"/>
        <v>-2.1074823395646983E-3</v>
      </c>
      <c r="I187" s="26">
        <v>2.7949999999999999</v>
      </c>
      <c r="J187" s="29">
        <f t="shared" si="16"/>
        <v>1.0791471632764386E-2</v>
      </c>
      <c r="K187" s="5">
        <v>77.77</v>
      </c>
      <c r="L187" s="29">
        <f t="shared" si="17"/>
        <v>1.3072081567352701E-2</v>
      </c>
    </row>
    <row r="188" spans="1:12" x14ac:dyDescent="0.2">
      <c r="A188" s="21">
        <f t="shared" si="13"/>
        <v>40277</v>
      </c>
      <c r="B188" s="22">
        <v>40277</v>
      </c>
      <c r="C188" s="30">
        <v>1.45</v>
      </c>
      <c r="D188" s="28">
        <f t="shared" si="18"/>
        <v>6.920442844573757E-3</v>
      </c>
      <c r="E188" s="24">
        <v>3.32</v>
      </c>
      <c r="F188" s="28">
        <f t="shared" si="14"/>
        <v>-6.0060240602119218E-3</v>
      </c>
      <c r="G188" s="26">
        <v>95.9</v>
      </c>
      <c r="H188" s="28">
        <f t="shared" si="15"/>
        <v>1.153657262841655E-2</v>
      </c>
      <c r="I188" s="26">
        <v>2.8290000000000002</v>
      </c>
      <c r="J188" s="29">
        <f t="shared" si="16"/>
        <v>1.2091185712367818E-2</v>
      </c>
      <c r="K188" s="5">
        <v>81.52</v>
      </c>
      <c r="L188" s="29">
        <f t="shared" si="17"/>
        <v>4.7092636207617444E-2</v>
      </c>
    </row>
    <row r="189" spans="1:12" x14ac:dyDescent="0.2">
      <c r="A189" s="21">
        <f t="shared" si="13"/>
        <v>40284</v>
      </c>
      <c r="B189" s="22">
        <v>40284</v>
      </c>
      <c r="C189" s="30">
        <v>1.43</v>
      </c>
      <c r="D189" s="28">
        <f t="shared" si="18"/>
        <v>-1.388911216066715E-2</v>
      </c>
      <c r="E189" s="24">
        <v>3.39</v>
      </c>
      <c r="F189" s="28">
        <f t="shared" si="14"/>
        <v>2.0865138463961756E-2</v>
      </c>
      <c r="G189" s="26">
        <v>101.3</v>
      </c>
      <c r="H189" s="28">
        <f t="shared" si="15"/>
        <v>5.4780429365245097E-2</v>
      </c>
      <c r="I189" s="26">
        <v>2.831</v>
      </c>
      <c r="J189" s="29">
        <f t="shared" si="16"/>
        <v>7.0671381033238017E-4</v>
      </c>
      <c r="K189" s="5">
        <v>81.64</v>
      </c>
      <c r="L189" s="29">
        <f t="shared" si="17"/>
        <v>1.4709490271748035E-3</v>
      </c>
    </row>
    <row r="190" spans="1:12" x14ac:dyDescent="0.2">
      <c r="A190" s="21">
        <f t="shared" si="13"/>
        <v>40291</v>
      </c>
      <c r="B190" s="22">
        <v>40291</v>
      </c>
      <c r="C190" s="30">
        <v>1.43</v>
      </c>
      <c r="D190" s="28">
        <f t="shared" si="18"/>
        <v>0</v>
      </c>
      <c r="E190" s="24">
        <v>3.43</v>
      </c>
      <c r="F190" s="28">
        <f t="shared" si="14"/>
        <v>1.17303397854896E-2</v>
      </c>
      <c r="G190" s="26">
        <v>106.3</v>
      </c>
      <c r="H190" s="28">
        <f t="shared" si="15"/>
        <v>4.817887409326458E-2</v>
      </c>
      <c r="I190" s="26">
        <v>2.8149999999999999</v>
      </c>
      <c r="J190" s="29">
        <f t="shared" si="16"/>
        <v>-5.6677445381088541E-3</v>
      </c>
      <c r="K190" s="5">
        <v>80.290000000000006</v>
      </c>
      <c r="L190" s="29">
        <f t="shared" si="17"/>
        <v>-1.6674257745051314E-2</v>
      </c>
    </row>
    <row r="191" spans="1:12" x14ac:dyDescent="0.2">
      <c r="A191" s="21">
        <f t="shared" si="13"/>
        <v>40298</v>
      </c>
      <c r="B191" s="22">
        <v>40298</v>
      </c>
      <c r="C191" s="30">
        <v>1.45</v>
      </c>
      <c r="D191" s="28">
        <f t="shared" si="18"/>
        <v>1.3889112160667093E-2</v>
      </c>
      <c r="E191" s="24">
        <v>3.38</v>
      </c>
      <c r="F191" s="28">
        <f t="shared" si="14"/>
        <v>-1.4684551682921182E-2</v>
      </c>
      <c r="G191" s="26">
        <v>110.05</v>
      </c>
      <c r="H191" s="28">
        <f t="shared" si="15"/>
        <v>3.4669522624568357E-2</v>
      </c>
      <c r="I191" s="26">
        <v>2.8639999999999999</v>
      </c>
      <c r="J191" s="29">
        <f t="shared" si="16"/>
        <v>1.7256987506745442E-2</v>
      </c>
      <c r="K191" s="5">
        <v>81.27</v>
      </c>
      <c r="L191" s="29">
        <f t="shared" si="17"/>
        <v>1.2131864568520719E-2</v>
      </c>
    </row>
    <row r="192" spans="1:12" x14ac:dyDescent="0.2">
      <c r="A192" s="21">
        <f t="shared" si="13"/>
        <v>40305</v>
      </c>
      <c r="B192" s="22">
        <v>40305</v>
      </c>
      <c r="C192" s="30">
        <v>1.47</v>
      </c>
      <c r="D192" s="28">
        <f t="shared" si="18"/>
        <v>1.3698844358161927E-2</v>
      </c>
      <c r="E192" s="24">
        <v>3.5</v>
      </c>
      <c r="F192" s="28">
        <f t="shared" si="14"/>
        <v>3.488725900044054E-2</v>
      </c>
      <c r="G192" s="26">
        <v>114.6</v>
      </c>
      <c r="H192" s="28">
        <f t="shared" si="15"/>
        <v>4.0512996308168486E-2</v>
      </c>
      <c r="I192" s="26">
        <v>2.87</v>
      </c>
      <c r="J192" s="29">
        <f t="shared" si="16"/>
        <v>2.0927806731305776E-3</v>
      </c>
      <c r="K192" s="5">
        <v>79.900000000000006</v>
      </c>
      <c r="L192" s="29">
        <f t="shared" si="17"/>
        <v>-1.7001091992884354E-2</v>
      </c>
    </row>
    <row r="193" spans="1:12" x14ac:dyDescent="0.2">
      <c r="A193" s="21">
        <f t="shared" si="13"/>
        <v>40312</v>
      </c>
      <c r="B193" s="22">
        <v>40312</v>
      </c>
      <c r="C193" s="30">
        <v>1.51</v>
      </c>
      <c r="D193" s="28">
        <f t="shared" si="18"/>
        <v>2.6847250036188056E-2</v>
      </c>
      <c r="E193" s="24">
        <v>3.53</v>
      </c>
      <c r="F193" s="28">
        <f t="shared" si="14"/>
        <v>8.5349024498372859E-3</v>
      </c>
      <c r="G193" s="26">
        <v>117.15</v>
      </c>
      <c r="H193" s="28">
        <f t="shared" si="15"/>
        <v>2.2007360673165537E-2</v>
      </c>
      <c r="I193" s="26">
        <v>2.823</v>
      </c>
      <c r="J193" s="29">
        <f t="shared" si="16"/>
        <v>-1.6511880500177465E-2</v>
      </c>
      <c r="K193" s="5">
        <v>73.88</v>
      </c>
      <c r="L193" s="29">
        <f t="shared" si="17"/>
        <v>-7.8333697441189953E-2</v>
      </c>
    </row>
    <row r="194" spans="1:12" x14ac:dyDescent="0.2">
      <c r="A194" s="21">
        <f t="shared" si="13"/>
        <v>40319</v>
      </c>
      <c r="B194" s="22">
        <v>40319</v>
      </c>
      <c r="C194" s="30">
        <v>1.52</v>
      </c>
      <c r="D194" s="28">
        <f t="shared" si="18"/>
        <v>6.6006840313520927E-3</v>
      </c>
      <c r="E194" s="24">
        <v>3.36</v>
      </c>
      <c r="F194" s="28">
        <f t="shared" si="14"/>
        <v>-4.9356896970092497E-2</v>
      </c>
      <c r="G194" s="26">
        <v>114.15</v>
      </c>
      <c r="H194" s="28">
        <f t="shared" si="15"/>
        <v>-2.5941791978000145E-2</v>
      </c>
      <c r="I194" s="26">
        <v>2.7410000000000001</v>
      </c>
      <c r="J194" s="29">
        <f t="shared" si="16"/>
        <v>-2.9477331950703532E-2</v>
      </c>
      <c r="K194" s="5">
        <v>68.48</v>
      </c>
      <c r="L194" s="29">
        <f t="shared" si="17"/>
        <v>-7.5900423497552438E-2</v>
      </c>
    </row>
    <row r="195" spans="1:12" x14ac:dyDescent="0.2">
      <c r="A195" s="21">
        <f t="shared" si="13"/>
        <v>40326</v>
      </c>
      <c r="B195" s="22">
        <v>40326</v>
      </c>
      <c r="C195" s="30">
        <v>1.52</v>
      </c>
      <c r="D195" s="28">
        <f t="shared" si="18"/>
        <v>0</v>
      </c>
      <c r="E195" s="24">
        <v>3.47</v>
      </c>
      <c r="F195" s="28">
        <f t="shared" si="14"/>
        <v>3.2213619983655059E-2</v>
      </c>
      <c r="G195" s="26">
        <v>109.7</v>
      </c>
      <c r="H195" s="28">
        <f t="shared" si="15"/>
        <v>-3.9764005694620019E-2</v>
      </c>
      <c r="I195" s="26">
        <v>2.6789999999999998</v>
      </c>
      <c r="J195" s="29">
        <f t="shared" si="16"/>
        <v>-2.2879226758177152E-2</v>
      </c>
      <c r="K195" s="5">
        <v>65.45</v>
      </c>
      <c r="L195" s="29">
        <f t="shared" si="17"/>
        <v>-4.5255239477577709E-2</v>
      </c>
    </row>
    <row r="196" spans="1:12" x14ac:dyDescent="0.2">
      <c r="A196" s="21">
        <f t="shared" si="13"/>
        <v>40333</v>
      </c>
      <c r="B196" s="22">
        <v>40333</v>
      </c>
      <c r="C196" s="30">
        <v>1.52</v>
      </c>
      <c r="D196" s="28">
        <f t="shared" si="18"/>
        <v>0</v>
      </c>
      <c r="E196" s="24">
        <v>3.27</v>
      </c>
      <c r="F196" s="28">
        <f t="shared" si="14"/>
        <v>-5.9364609049605811E-2</v>
      </c>
      <c r="G196" s="26">
        <v>106.59</v>
      </c>
      <c r="H196" s="28">
        <f t="shared" si="15"/>
        <v>-2.8759668580139199E-2</v>
      </c>
      <c r="I196" s="26">
        <v>2.6739999999999999</v>
      </c>
      <c r="J196" s="29">
        <f t="shared" si="16"/>
        <v>-1.8681118827201834E-3</v>
      </c>
      <c r="K196" s="5">
        <v>68.260000000000005</v>
      </c>
      <c r="L196" s="29">
        <f t="shared" si="17"/>
        <v>4.2037451122652017E-2</v>
      </c>
    </row>
    <row r="197" spans="1:12" x14ac:dyDescent="0.2">
      <c r="A197" s="21">
        <f t="shared" si="13"/>
        <v>40340</v>
      </c>
      <c r="B197" s="22">
        <v>40340</v>
      </c>
      <c r="C197" s="30">
        <v>1.53</v>
      </c>
      <c r="D197" s="28">
        <f t="shared" si="18"/>
        <v>6.5574005461590396E-3</v>
      </c>
      <c r="E197" s="24">
        <v>3.16</v>
      </c>
      <c r="F197" s="28">
        <f t="shared" si="14"/>
        <v>-3.421795731034126E-2</v>
      </c>
      <c r="G197" s="26">
        <v>104.35</v>
      </c>
      <c r="H197" s="28">
        <f t="shared" si="15"/>
        <v>-2.1239065177835741E-2</v>
      </c>
      <c r="I197" s="26">
        <v>2.6520000000000001</v>
      </c>
      <c r="J197" s="29">
        <f t="shared" si="16"/>
        <v>-8.2614063561353302E-3</v>
      </c>
      <c r="K197" s="5">
        <v>69.069999999999993</v>
      </c>
      <c r="L197" s="29">
        <f t="shared" si="17"/>
        <v>1.1796539622320348E-2</v>
      </c>
    </row>
    <row r="198" spans="1:12" x14ac:dyDescent="0.2">
      <c r="A198" s="21">
        <f t="shared" ref="A198:A217" si="19">B198</f>
        <v>40347</v>
      </c>
      <c r="B198" s="22">
        <v>40347</v>
      </c>
      <c r="C198" s="30">
        <v>1.51</v>
      </c>
      <c r="D198" s="28">
        <f t="shared" si="18"/>
        <v>-1.3158084577511199E-2</v>
      </c>
      <c r="E198" s="24">
        <v>3.32</v>
      </c>
      <c r="F198" s="28">
        <f t="shared" si="14"/>
        <v>4.9392755329576266E-2</v>
      </c>
      <c r="G198" s="26">
        <v>99.05</v>
      </c>
      <c r="H198" s="28">
        <f t="shared" si="15"/>
        <v>-5.2125860378649816E-2</v>
      </c>
      <c r="I198" s="26">
        <v>2.6960000000000002</v>
      </c>
      <c r="J198" s="29">
        <f t="shared" si="16"/>
        <v>1.6455120726444467E-2</v>
      </c>
      <c r="K198" s="5">
        <v>71.77</v>
      </c>
      <c r="L198" s="29">
        <f t="shared" si="17"/>
        <v>3.8346078341099113E-2</v>
      </c>
    </row>
    <row r="199" spans="1:12" x14ac:dyDescent="0.2">
      <c r="A199" s="21">
        <f t="shared" si="19"/>
        <v>40354</v>
      </c>
      <c r="B199" s="22">
        <v>40354</v>
      </c>
      <c r="C199" s="30">
        <v>1.53</v>
      </c>
      <c r="D199" s="28">
        <f t="shared" si="18"/>
        <v>1.3158084577511201E-2</v>
      </c>
      <c r="E199" s="24">
        <v>3.3</v>
      </c>
      <c r="F199" s="28">
        <f t="shared" ref="F199:F211" si="20">LN(E199/E198)</f>
        <v>-6.0423144559625863E-3</v>
      </c>
      <c r="G199" s="26">
        <v>99.95</v>
      </c>
      <c r="H199" s="28">
        <f t="shared" ref="H199:H211" si="21">LN(G199/G198)</f>
        <v>9.045287801849166E-3</v>
      </c>
      <c r="I199" s="26">
        <v>2.7120000000000002</v>
      </c>
      <c r="J199" s="29">
        <f t="shared" ref="J199:J211" si="22">LN(I199/I198)</f>
        <v>5.9171770280885185E-3</v>
      </c>
      <c r="K199" s="5">
        <v>72.959999999999994</v>
      </c>
      <c r="L199" s="29">
        <f t="shared" ref="L199:L211" si="23">LN(K199/K198)</f>
        <v>1.6444784324095428E-2</v>
      </c>
    </row>
    <row r="200" spans="1:12" x14ac:dyDescent="0.2">
      <c r="A200" s="21">
        <f t="shared" si="19"/>
        <v>40361</v>
      </c>
      <c r="B200" s="22">
        <v>40361</v>
      </c>
      <c r="C200" s="30">
        <v>1.5</v>
      </c>
      <c r="D200" s="28">
        <f t="shared" si="18"/>
        <v>-1.9802627296179754E-2</v>
      </c>
      <c r="E200" s="24">
        <v>3.22</v>
      </c>
      <c r="F200" s="28">
        <f t="shared" si="20"/>
        <v>-2.4541108916117545E-2</v>
      </c>
      <c r="G200" s="26">
        <v>99</v>
      </c>
      <c r="H200" s="28">
        <f t="shared" si="21"/>
        <v>-9.5502108118191344E-3</v>
      </c>
      <c r="I200" s="26">
        <v>2.6760000000000002</v>
      </c>
      <c r="J200" s="29">
        <f t="shared" si="22"/>
        <v>-1.3363227812167141E-2</v>
      </c>
      <c r="K200" s="5">
        <v>72.44</v>
      </c>
      <c r="L200" s="29">
        <f t="shared" si="23"/>
        <v>-7.1527127508632972E-3</v>
      </c>
    </row>
    <row r="201" spans="1:12" x14ac:dyDescent="0.2">
      <c r="A201" s="21">
        <f t="shared" si="19"/>
        <v>40368</v>
      </c>
      <c r="B201" s="22">
        <v>40368</v>
      </c>
      <c r="C201" s="30">
        <v>1.47</v>
      </c>
      <c r="D201" s="28">
        <f t="shared" si="18"/>
        <v>-2.0202707317519466E-2</v>
      </c>
      <c r="E201" s="24">
        <v>3.45</v>
      </c>
      <c r="F201" s="28">
        <f t="shared" si="20"/>
        <v>6.8992871486951421E-2</v>
      </c>
      <c r="G201" s="26">
        <v>100.82</v>
      </c>
      <c r="H201" s="28">
        <f t="shared" si="21"/>
        <v>1.8216898519894865E-2</v>
      </c>
      <c r="I201" s="26">
        <v>2.6659999999999999</v>
      </c>
      <c r="J201" s="29">
        <f t="shared" si="22"/>
        <v>-3.7439205094651753E-3</v>
      </c>
      <c r="K201" s="5">
        <v>71.58</v>
      </c>
      <c r="L201" s="29">
        <f t="shared" si="23"/>
        <v>-1.1942927677332833E-2</v>
      </c>
    </row>
    <row r="202" spans="1:12" x14ac:dyDescent="0.2">
      <c r="A202" s="21">
        <f t="shared" si="19"/>
        <v>40375</v>
      </c>
      <c r="B202" s="22">
        <v>40375</v>
      </c>
      <c r="C202" s="30">
        <v>1.51</v>
      </c>
      <c r="D202" s="28">
        <f t="shared" ref="D202:D211" si="24">LN(C202/C201)</f>
        <v>2.6847250036188056E-2</v>
      </c>
      <c r="E202" s="24">
        <v>3.48</v>
      </c>
      <c r="F202" s="28">
        <f t="shared" si="20"/>
        <v>8.6580627431145311E-3</v>
      </c>
      <c r="G202" s="26">
        <v>103.4</v>
      </c>
      <c r="H202" s="28">
        <f t="shared" si="21"/>
        <v>2.5268213419844178E-2</v>
      </c>
      <c r="I202" s="26">
        <v>2.6720000000000002</v>
      </c>
      <c r="J202" s="29">
        <f t="shared" si="22"/>
        <v>2.2480339178823487E-3</v>
      </c>
      <c r="K202" s="5">
        <v>71.62</v>
      </c>
      <c r="L202" s="29">
        <f t="shared" si="23"/>
        <v>5.5865923240703348E-4</v>
      </c>
    </row>
    <row r="203" spans="1:12" x14ac:dyDescent="0.2">
      <c r="A203" s="21">
        <f t="shared" si="19"/>
        <v>40382</v>
      </c>
      <c r="B203" s="22">
        <v>40382</v>
      </c>
      <c r="C203" s="30">
        <v>1.53</v>
      </c>
      <c r="D203" s="28">
        <f t="shared" si="24"/>
        <v>1.3158084577511201E-2</v>
      </c>
      <c r="E203" s="24">
        <v>3.43</v>
      </c>
      <c r="F203" s="28">
        <f t="shared" si="20"/>
        <v>-1.4472032608534319E-2</v>
      </c>
      <c r="G203" s="26">
        <v>103.55</v>
      </c>
      <c r="H203" s="28">
        <f t="shared" si="21"/>
        <v>1.4496257672642491E-3</v>
      </c>
      <c r="I203" s="26">
        <v>2.7029999999999998</v>
      </c>
      <c r="J203" s="29">
        <f t="shared" si="22"/>
        <v>1.1535011619911139E-2</v>
      </c>
      <c r="K203" s="5">
        <v>72.010000000000005</v>
      </c>
      <c r="L203" s="29">
        <f t="shared" si="23"/>
        <v>5.4306336904887623E-3</v>
      </c>
    </row>
    <row r="204" spans="1:12" x14ac:dyDescent="0.2">
      <c r="A204" s="21">
        <f t="shared" si="19"/>
        <v>40389</v>
      </c>
      <c r="B204" s="22">
        <v>40389</v>
      </c>
      <c r="C204" s="30">
        <v>1.53</v>
      </c>
      <c r="D204" s="28">
        <f t="shared" si="24"/>
        <v>0</v>
      </c>
      <c r="E204" s="24">
        <v>3.31</v>
      </c>
      <c r="F204" s="28">
        <f t="shared" si="20"/>
        <v>-3.5612071788877091E-2</v>
      </c>
      <c r="G204" s="26">
        <v>101.85</v>
      </c>
      <c r="H204" s="28">
        <f t="shared" si="21"/>
        <v>-1.6553445168778359E-2</v>
      </c>
      <c r="I204" s="26">
        <v>2.6869999999999998</v>
      </c>
      <c r="J204" s="29">
        <f t="shared" si="22"/>
        <v>-5.9369376609564118E-3</v>
      </c>
      <c r="K204" s="5">
        <v>73.150000000000006</v>
      </c>
      <c r="L204" s="29">
        <f t="shared" si="23"/>
        <v>1.5707129205357877E-2</v>
      </c>
    </row>
    <row r="205" spans="1:12" x14ac:dyDescent="0.2">
      <c r="A205" s="21">
        <f t="shared" si="19"/>
        <v>40396</v>
      </c>
      <c r="B205" s="22">
        <v>40396</v>
      </c>
      <c r="C205" s="30">
        <v>1.56</v>
      </c>
      <c r="D205" s="28">
        <f t="shared" si="24"/>
        <v>1.9418085857101516E-2</v>
      </c>
      <c r="E205" s="24">
        <v>3.54</v>
      </c>
      <c r="F205" s="28">
        <f t="shared" si="20"/>
        <v>6.7178537756711523E-2</v>
      </c>
      <c r="G205" s="26">
        <v>103.05</v>
      </c>
      <c r="H205" s="28">
        <f t="shared" si="21"/>
        <v>1.171316466365317E-2</v>
      </c>
      <c r="I205" s="26">
        <v>2.74</v>
      </c>
      <c r="J205" s="29">
        <f t="shared" si="22"/>
        <v>1.9532590766624874E-2</v>
      </c>
      <c r="K205" s="5">
        <v>76.75</v>
      </c>
      <c r="L205" s="29">
        <f t="shared" si="23"/>
        <v>4.8041259001173099E-2</v>
      </c>
    </row>
    <row r="206" spans="1:12" x14ac:dyDescent="0.2">
      <c r="A206" s="21">
        <f t="shared" si="19"/>
        <v>40403</v>
      </c>
      <c r="B206" s="22">
        <v>40403</v>
      </c>
      <c r="C206" s="30">
        <v>1.65</v>
      </c>
      <c r="D206" s="28">
        <f t="shared" si="24"/>
        <v>5.6089466651043578E-2</v>
      </c>
      <c r="E206" s="24">
        <v>3.55</v>
      </c>
      <c r="F206" s="28">
        <f t="shared" si="20"/>
        <v>2.8208763416412634E-3</v>
      </c>
      <c r="G206" s="26">
        <v>106.05</v>
      </c>
      <c r="H206" s="28">
        <f t="shared" si="21"/>
        <v>2.8696373674223338E-2</v>
      </c>
      <c r="I206" s="26">
        <v>2.6960000000000002</v>
      </c>
      <c r="J206" s="29">
        <f t="shared" si="22"/>
        <v>-1.6188727349918282E-2</v>
      </c>
      <c r="K206" s="5">
        <v>75.900000000000006</v>
      </c>
      <c r="L206" s="29">
        <f t="shared" si="23"/>
        <v>-1.1136702065722162E-2</v>
      </c>
    </row>
    <row r="207" spans="1:12" x14ac:dyDescent="0.2">
      <c r="A207" s="21">
        <f t="shared" si="19"/>
        <v>40410</v>
      </c>
      <c r="B207" s="22">
        <v>40410</v>
      </c>
      <c r="C207" s="30">
        <v>1.7</v>
      </c>
      <c r="D207" s="28">
        <f t="shared" si="24"/>
        <v>2.9852963149681128E-2</v>
      </c>
      <c r="E207" s="24">
        <v>3.68</v>
      </c>
      <c r="F207" s="28">
        <f t="shared" si="20"/>
        <v>3.5965148693515303E-2</v>
      </c>
      <c r="G207" s="26">
        <v>106.05</v>
      </c>
      <c r="H207" s="28">
        <f t="shared" si="21"/>
        <v>0</v>
      </c>
      <c r="I207" s="26">
        <v>2.653</v>
      </c>
      <c r="J207" s="29">
        <f t="shared" si="22"/>
        <v>-1.6078117894458038E-2</v>
      </c>
      <c r="K207" s="5">
        <v>72.28</v>
      </c>
      <c r="L207" s="29">
        <f t="shared" si="23"/>
        <v>-4.88692186775566E-2</v>
      </c>
    </row>
    <row r="208" spans="1:12" x14ac:dyDescent="0.2">
      <c r="A208" s="21">
        <f t="shared" si="19"/>
        <v>40417</v>
      </c>
      <c r="B208" s="22">
        <v>40417</v>
      </c>
      <c r="C208" s="30">
        <v>1.8</v>
      </c>
      <c r="D208" s="28">
        <f t="shared" si="24"/>
        <v>5.7158413839948623E-2</v>
      </c>
      <c r="E208" s="24">
        <v>3.67</v>
      </c>
      <c r="F208" s="28">
        <f t="shared" si="20"/>
        <v>-2.7210901143607247E-3</v>
      </c>
      <c r="G208" s="26">
        <v>107.25</v>
      </c>
      <c r="H208" s="28">
        <f t="shared" si="21"/>
        <v>1.1251876797434847E-2</v>
      </c>
      <c r="I208" s="26">
        <v>2.64</v>
      </c>
      <c r="J208" s="29">
        <f t="shared" si="22"/>
        <v>-4.9121579973777311E-3</v>
      </c>
      <c r="K208" s="5">
        <v>69.39</v>
      </c>
      <c r="L208" s="29">
        <f t="shared" si="23"/>
        <v>-4.0804700812570233E-2</v>
      </c>
    </row>
    <row r="209" spans="1:12" x14ac:dyDescent="0.2">
      <c r="A209" s="21">
        <f t="shared" si="19"/>
        <v>40424</v>
      </c>
      <c r="B209" s="22">
        <v>40424</v>
      </c>
      <c r="C209" s="30">
        <v>1.87</v>
      </c>
      <c r="D209" s="28">
        <f t="shared" si="24"/>
        <v>3.8151765964376326E-2</v>
      </c>
      <c r="E209" s="24">
        <v>3.83</v>
      </c>
      <c r="F209" s="28">
        <f t="shared" si="20"/>
        <v>4.2673141126075696E-2</v>
      </c>
      <c r="G209" s="26">
        <v>108.7</v>
      </c>
      <c r="H209" s="28">
        <f t="shared" si="21"/>
        <v>1.3429236319037459E-2</v>
      </c>
      <c r="I209" s="26">
        <v>2.6469999999999998</v>
      </c>
      <c r="J209" s="29">
        <f t="shared" si="22"/>
        <v>2.6480060867392304E-3</v>
      </c>
      <c r="K209" s="5">
        <v>71.02</v>
      </c>
      <c r="L209" s="29">
        <f t="shared" si="23"/>
        <v>2.3218762603484176E-2</v>
      </c>
    </row>
    <row r="210" spans="1:12" x14ac:dyDescent="0.2">
      <c r="A210" s="21">
        <f t="shared" si="19"/>
        <v>40431</v>
      </c>
      <c r="B210" s="22">
        <v>40431</v>
      </c>
      <c r="C210" s="30">
        <v>1.88</v>
      </c>
      <c r="D210" s="28">
        <f t="shared" si="24"/>
        <v>5.3333459753623818E-3</v>
      </c>
      <c r="E210" s="24">
        <v>4.05</v>
      </c>
      <c r="F210" s="28">
        <f t="shared" si="20"/>
        <v>5.5852077925893001E-2</v>
      </c>
      <c r="G210" s="26">
        <v>115.88</v>
      </c>
      <c r="H210" s="28">
        <f t="shared" si="21"/>
        <v>6.3963378773985752E-2</v>
      </c>
      <c r="I210" s="26">
        <v>2.6949999999999998</v>
      </c>
      <c r="J210" s="29">
        <f t="shared" si="22"/>
        <v>1.7971281115996201E-2</v>
      </c>
      <c r="K210" s="5">
        <v>71.72</v>
      </c>
      <c r="L210" s="29">
        <f t="shared" si="23"/>
        <v>9.8081212219903961E-3</v>
      </c>
    </row>
    <row r="211" spans="1:12" x14ac:dyDescent="0.2">
      <c r="A211" s="21">
        <f t="shared" si="19"/>
        <v>40438</v>
      </c>
      <c r="B211" s="22">
        <v>40438</v>
      </c>
      <c r="C211" s="30">
        <v>1.97</v>
      </c>
      <c r="D211" s="28">
        <f t="shared" si="24"/>
        <v>4.6761765908039286E-2</v>
      </c>
      <c r="E211" s="24">
        <v>4.3600000000000003</v>
      </c>
      <c r="F211" s="28">
        <f t="shared" si="20"/>
        <v>7.3755176242495252E-2</v>
      </c>
      <c r="G211" s="26">
        <v>121.95</v>
      </c>
      <c r="H211" s="28">
        <f t="shared" si="21"/>
        <v>5.1055951760779712E-2</v>
      </c>
      <c r="I211" s="26">
        <v>2.7029999999999998</v>
      </c>
      <c r="J211" s="29">
        <f t="shared" si="22"/>
        <v>2.9640629333501727E-3</v>
      </c>
      <c r="K211" s="5">
        <v>72.97</v>
      </c>
      <c r="L211" s="29">
        <f t="shared" si="23"/>
        <v>1.7278749040596619E-2</v>
      </c>
    </row>
    <row r="212" spans="1:12" x14ac:dyDescent="0.2">
      <c r="A212" s="21">
        <f t="shared" si="19"/>
        <v>40445</v>
      </c>
      <c r="B212" s="22">
        <v>40445</v>
      </c>
      <c r="C212" s="30">
        <v>2.12</v>
      </c>
      <c r="D212" s="28">
        <f t="shared" ref="D212:D217" si="25">LN(C212/C205)</f>
        <v>0.30673026742247544</v>
      </c>
      <c r="E212" s="24">
        <v>4.5199999999999996</v>
      </c>
      <c r="F212" s="28">
        <f t="shared" ref="F212:F217" si="26">LN(E212/E205)</f>
        <v>0.24438526669845656</v>
      </c>
      <c r="G212" s="26">
        <v>130.44999999999999</v>
      </c>
      <c r="H212" s="28">
        <f>LN(G212/G205)</f>
        <v>0.2357757042462694</v>
      </c>
      <c r="I212" s="26">
        <v>2.6680000000000001</v>
      </c>
      <c r="J212" s="29">
        <f>LN(I212/I205)</f>
        <v>-2.6628792346601562E-2</v>
      </c>
      <c r="K212" s="5">
        <v>71.11</v>
      </c>
      <c r="L212" s="29">
        <f t="shared" ref="L212:L217" si="27">LN(K212/K205)</f>
        <v>-7.6325412571879914E-2</v>
      </c>
    </row>
    <row r="213" spans="1:12" x14ac:dyDescent="0.2">
      <c r="A213" s="21">
        <f t="shared" si="19"/>
        <v>40452</v>
      </c>
      <c r="B213" s="22">
        <v>40452</v>
      </c>
      <c r="C213" s="30">
        <v>2.14</v>
      </c>
      <c r="D213" s="28">
        <f t="shared" si="25"/>
        <v>0.260030541121271</v>
      </c>
      <c r="E213" s="24">
        <v>4.58</v>
      </c>
      <c r="F213" s="28">
        <f t="shared" si="26"/>
        <v>0.25475139463876922</v>
      </c>
      <c r="G213" s="26">
        <v>133.05000000000001</v>
      </c>
      <c r="H213" s="28">
        <f t="shared" ref="H213:J217" si="28">LN(G213/G206)</f>
        <v>0.22681431641300684</v>
      </c>
      <c r="I213" s="26">
        <v>2.7050000000000001</v>
      </c>
      <c r="J213" s="29">
        <f t="shared" si="28"/>
        <v>3.332719248384151E-3</v>
      </c>
      <c r="K213" s="5">
        <v>72.59</v>
      </c>
      <c r="L213" s="29">
        <f t="shared" si="27"/>
        <v>-4.458951310483502E-2</v>
      </c>
    </row>
    <row r="214" spans="1:12" x14ac:dyDescent="0.2">
      <c r="A214" s="21">
        <f t="shared" si="19"/>
        <v>40459</v>
      </c>
      <c r="B214" s="22">
        <v>40459</v>
      </c>
      <c r="C214" s="30">
        <v>1.99</v>
      </c>
      <c r="D214" s="28">
        <f t="shared" si="25"/>
        <v>0.15750638767423067</v>
      </c>
      <c r="E214" s="24">
        <v>4.42</v>
      </c>
      <c r="F214" s="28">
        <f t="shared" si="26"/>
        <v>0.18322694390876712</v>
      </c>
      <c r="G214" s="26">
        <v>131.55000000000001</v>
      </c>
      <c r="H214" s="28">
        <f t="shared" si="28"/>
        <v>0.21547632647561035</v>
      </c>
      <c r="I214" s="26">
        <v>2.7930000000000001</v>
      </c>
      <c r="J214" s="29">
        <f t="shared" si="28"/>
        <v>5.1425211807437185E-2</v>
      </c>
      <c r="K214" s="5">
        <v>77.239999999999995</v>
      </c>
      <c r="L214" s="29">
        <f t="shared" si="27"/>
        <v>6.6369991836285835E-2</v>
      </c>
    </row>
    <row r="215" spans="1:12" x14ac:dyDescent="0.2">
      <c r="A215" s="21">
        <f t="shared" si="19"/>
        <v>40466</v>
      </c>
      <c r="B215" s="22">
        <v>40466</v>
      </c>
      <c r="C215" s="30">
        <v>2</v>
      </c>
      <c r="D215" s="28">
        <f t="shared" si="25"/>
        <v>0.10536051565782635</v>
      </c>
      <c r="E215" s="24">
        <v>5.0999999999999996</v>
      </c>
      <c r="F215" s="28">
        <f t="shared" si="26"/>
        <v>0.32904887766380109</v>
      </c>
      <c r="G215" s="26">
        <v>137.08000000000001</v>
      </c>
      <c r="H215" s="28">
        <f t="shared" si="28"/>
        <v>0.24540213919828183</v>
      </c>
      <c r="I215" s="26">
        <v>2.7949999999999999</v>
      </c>
      <c r="J215" s="29">
        <f t="shared" si="28"/>
        <v>5.7053189448837582E-2</v>
      </c>
      <c r="K215" s="5">
        <v>77.349999999999994</v>
      </c>
      <c r="L215" s="29">
        <f t="shared" si="27"/>
        <v>0.10859781210761758</v>
      </c>
    </row>
    <row r="216" spans="1:12" x14ac:dyDescent="0.2">
      <c r="A216" s="21">
        <f t="shared" si="19"/>
        <v>40473</v>
      </c>
      <c r="B216" s="22">
        <v>40473</v>
      </c>
      <c r="C216" s="30">
        <v>2.21</v>
      </c>
      <c r="D216" s="28">
        <f t="shared" si="25"/>
        <v>0.16705408466316607</v>
      </c>
      <c r="E216" s="24">
        <v>5.13</v>
      </c>
      <c r="F216" s="28">
        <f t="shared" si="26"/>
        <v>0.2922408559901235</v>
      </c>
      <c r="G216" s="26">
        <v>149.85</v>
      </c>
      <c r="H216" s="28">
        <f t="shared" si="28"/>
        <v>0.32104299963550836</v>
      </c>
      <c r="I216" s="26">
        <v>2.7719999999999998</v>
      </c>
      <c r="J216" s="29">
        <f t="shared" si="28"/>
        <v>4.6142158082692522E-2</v>
      </c>
      <c r="K216" s="5">
        <v>75.790000000000006</v>
      </c>
      <c r="L216" s="29">
        <f t="shared" si="27"/>
        <v>6.5004830308995995E-2</v>
      </c>
    </row>
    <row r="217" spans="1:12" ht="15.75" thickBot="1" x14ac:dyDescent="0.3">
      <c r="A217" s="21">
        <f t="shared" si="19"/>
        <v>40480</v>
      </c>
      <c r="B217" s="22">
        <v>40480</v>
      </c>
      <c r="C217" s="40">
        <v>2.2799999999999998</v>
      </c>
      <c r="D217" s="28">
        <f t="shared" si="25"/>
        <v>0.19290366612449145</v>
      </c>
      <c r="E217" s="40">
        <v>5.26</v>
      </c>
      <c r="F217" s="28">
        <f t="shared" si="26"/>
        <v>0.26141414563117066</v>
      </c>
      <c r="G217" s="41">
        <v>151.15</v>
      </c>
      <c r="H217" s="28">
        <f t="shared" si="28"/>
        <v>0.26571754832431754</v>
      </c>
      <c r="I217" s="42">
        <v>2.76</v>
      </c>
      <c r="J217" s="29">
        <f t="shared" si="28"/>
        <v>2.3832475368098242E-2</v>
      </c>
      <c r="K217" s="5">
        <v>76.209999999999994</v>
      </c>
      <c r="L217" s="29">
        <f t="shared" si="27"/>
        <v>6.0723038941093932E-2</v>
      </c>
    </row>
    <row r="218" spans="1:12" ht="21.75" customHeight="1" x14ac:dyDescent="0.3">
      <c r="A218" s="43" t="s">
        <v>24</v>
      </c>
      <c r="B218" s="44"/>
      <c r="C218" s="45"/>
      <c r="D218" s="46">
        <f>SQRT(50.4)*(STDEV(D9:D217))</f>
        <v>0.32977532070513871</v>
      </c>
      <c r="E218" s="44"/>
      <c r="F218" s="46">
        <f>SQRT(50.4)*(STDEV(F6:F217))</f>
        <v>0.4451034987761151</v>
      </c>
      <c r="G218" s="47"/>
      <c r="H218" s="48">
        <f>SQRT(50.4)*(STDEV(H6:H217))</f>
        <v>0.39314439155904402</v>
      </c>
      <c r="I218" s="46">
        <f>SQRT(50.4)*(STDEV(I6:I217))</f>
        <v>3.8207210035445027</v>
      </c>
      <c r="J218" s="46">
        <f>SQRT(50.4)*(STDEV(J6:J217))</f>
        <v>0.20104570371487696</v>
      </c>
      <c r="K218" s="44"/>
      <c r="L218" s="46">
        <f>SQRT(50.4)*(STDEV(L6:L217))</f>
        <v>0.34697502074664971</v>
      </c>
    </row>
    <row r="219" spans="1:12" ht="21.75" customHeight="1" thickBot="1" x14ac:dyDescent="0.35">
      <c r="A219" s="43" t="s">
        <v>25</v>
      </c>
      <c r="B219" s="49"/>
      <c r="C219" s="50"/>
      <c r="D219" s="51">
        <f>AVERAGE(C174:C217)</f>
        <v>1.6822727272727271</v>
      </c>
      <c r="E219" s="49"/>
      <c r="F219" s="51">
        <f>AVERAGE(E174:E217)</f>
        <v>3.6900000000000004</v>
      </c>
      <c r="G219" s="52"/>
      <c r="H219" s="53">
        <f>AVERAGE(G174:G217)</f>
        <v>108.73909090909092</v>
      </c>
      <c r="I219" s="51">
        <f>AVERAGE(H174:H217)</f>
        <v>3.6927011113321133E-2</v>
      </c>
      <c r="J219" s="51">
        <f>AVERAGE(I174:I217)</f>
        <v>2.7156136363636367</v>
      </c>
      <c r="K219" s="49"/>
      <c r="L219" s="51">
        <f>AVERAGE(K174:K217)</f>
        <v>74.21022727272728</v>
      </c>
    </row>
    <row r="220" spans="1:12" ht="24" customHeight="1" thickBot="1" x14ac:dyDescent="0.35">
      <c r="A220" s="54" t="s">
        <v>26</v>
      </c>
      <c r="B220" s="55"/>
      <c r="C220" s="56"/>
      <c r="D220" s="212">
        <f>AVERAGE(Hist_EtOH_Real)</f>
        <v>1.8787142857142856</v>
      </c>
      <c r="E220" s="55"/>
      <c r="F220" s="57">
        <f>AVERAGE(E5:E217)</f>
        <v>3.8743192488262883</v>
      </c>
      <c r="G220" s="58"/>
      <c r="H220" s="59">
        <f>AVERAGE(G5:G217)</f>
        <v>122.40136150234743</v>
      </c>
      <c r="I220" s="212">
        <f>AVERAGE(H5:H217)</f>
        <v>9.6336140487196416E-3</v>
      </c>
      <c r="J220" s="57">
        <f>AVERAGE(I5:I217)</f>
        <v>2.7246572769953068</v>
      </c>
      <c r="K220" s="55"/>
      <c r="L220" s="57">
        <f>AVERAGE(K5:K217)</f>
        <v>71.711596244131485</v>
      </c>
    </row>
    <row r="221" spans="1:12" ht="21.75" customHeight="1" thickTop="1" thickBot="1" x14ac:dyDescent="0.35">
      <c r="A221" s="60" t="s">
        <v>27</v>
      </c>
      <c r="B221" s="61"/>
      <c r="C221" s="62">
        <f ca="1">_xll.RiskGamma(31.854,0.05898,_xll.RiskName("EtOH Real Prices"))</f>
        <v>1.9188346694355469</v>
      </c>
      <c r="D221" s="209">
        <f ca="1">_xll.RiskLoglogistic(-0.20529,0.20681,10.257,_xll.RiskName("Ethanol_Price"))</f>
        <v>-3.0553481889073114E-2</v>
      </c>
      <c r="E221" s="61">
        <f ca="1">_xll.RiskPearson5(27.392,102.04,_xll.RiskName("Hist_Corn_Real"))</f>
        <v>3.5598569248789724</v>
      </c>
      <c r="F221" s="63">
        <f ca="1">_xll.RiskLogistic(0.0073159,0.029684,_xll.RiskName("Corn_Price"))</f>
        <v>2.4960501785732222E-2</v>
      </c>
      <c r="G221" s="64">
        <f ca="1">_xll.RiskTriang(0,126.1,202.69,_xll.RiskName("Hist_DDG_Real"))</f>
        <v>117.22144549634122</v>
      </c>
      <c r="H221" s="65">
        <f ca="1">_xll.RiskLoglogistic(-0.31036,0.31421,13.458,_xll.RiskName("DDGS"))</f>
        <v>3.5379141838553119E-2</v>
      </c>
      <c r="I221" s="61">
        <f ca="1">_xll.RiskGamma(25.957,0.10497,_xll.RiskName("Hist_Gas_Real"))</f>
        <v>2.3312268013003692</v>
      </c>
      <c r="J221" s="63">
        <f ca="1">_xll.RiskLogistic(0.0025905,0.014839,_xll.RiskName("Hist_Gas_Abs"))</f>
        <v>9.2858435494250324E-2</v>
      </c>
      <c r="K221" s="61">
        <f ca="1">_xll.RiskLoglogistic(-1.7973,70.775,6.293,_xll.RiskName("Hist_Oil_Real"))</f>
        <v>58.690300016113603</v>
      </c>
      <c r="L221" s="63">
        <f ca="1">_xll.RiskLogistic(0.0048007,0.026099,_xll.RiskName("Hist_Oil_Abs"))</f>
        <v>7.1074950334911263E-2</v>
      </c>
    </row>
    <row r="223" spans="1:12" ht="18" thickBot="1" x14ac:dyDescent="0.35">
      <c r="A223" s="43" t="s">
        <v>28</v>
      </c>
      <c r="B223" s="49"/>
      <c r="C223" s="50"/>
      <c r="D223" s="50"/>
      <c r="E223" s="50"/>
      <c r="F223" s="50"/>
      <c r="G223" s="50"/>
      <c r="H223" s="50"/>
      <c r="I223" s="50"/>
      <c r="J223" s="50"/>
      <c r="K223" s="50"/>
      <c r="L223" s="50"/>
    </row>
    <row r="224" spans="1:12" ht="18" thickBot="1" x14ac:dyDescent="0.35">
      <c r="A224" s="43" t="s">
        <v>29</v>
      </c>
      <c r="B224" s="49"/>
      <c r="C224" s="50">
        <f>AVERAGE(C18:C68)</f>
        <v>1.9394117647058824</v>
      </c>
      <c r="D224" s="50">
        <f t="shared" ref="D224:L224" si="29">AVERAGE(D18:D68)</f>
        <v>-3.2908769574061113E-3</v>
      </c>
      <c r="E224" s="50">
        <f t="shared" si="29"/>
        <v>3.4484313725490181</v>
      </c>
      <c r="F224" s="50">
        <f t="shared" si="29"/>
        <v>2.9350804463736629E-3</v>
      </c>
      <c r="G224" s="50">
        <f t="shared" si="29"/>
        <v>114.04019607843136</v>
      </c>
      <c r="H224" s="50">
        <f t="shared" si="29"/>
        <v>3.5099842878621879E-3</v>
      </c>
      <c r="I224" s="50">
        <f t="shared" si="29"/>
        <v>2.7711764705882351</v>
      </c>
      <c r="J224" s="50">
        <f t="shared" si="29"/>
        <v>4.867862564588551E-3</v>
      </c>
      <c r="K224" s="50">
        <f t="shared" si="29"/>
        <v>65.916274509803898</v>
      </c>
      <c r="L224" s="50">
        <f t="shared" si="29"/>
        <v>8.5251796017499111E-3</v>
      </c>
    </row>
    <row r="225" spans="1:12" ht="18" thickBot="1" x14ac:dyDescent="0.35">
      <c r="A225" s="43" t="s">
        <v>30</v>
      </c>
      <c r="B225" s="49"/>
      <c r="C225" s="50">
        <f>AVERAGE(C70:C121)</f>
        <v>2.1857692307692309</v>
      </c>
      <c r="D225" s="50">
        <f t="shared" ref="D225:L225" si="30">AVERAGE(D70:D121)</f>
        <v>-6.7287549414106413E-3</v>
      </c>
      <c r="E225" s="50">
        <f t="shared" si="30"/>
        <v>4.9501923076923093</v>
      </c>
      <c r="F225" s="50">
        <f t="shared" si="30"/>
        <v>-3.2538551698318842E-3</v>
      </c>
      <c r="G225" s="50">
        <f t="shared" si="30"/>
        <v>156.56846153846149</v>
      </c>
      <c r="H225" s="50">
        <f t="shared" si="30"/>
        <v>-5.2970083214692329E-3</v>
      </c>
      <c r="I225" s="50">
        <f t="shared" si="30"/>
        <v>3.2128653846153843</v>
      </c>
      <c r="J225" s="50">
        <f t="shared" si="30"/>
        <v>-1.2387852295058888E-2</v>
      </c>
      <c r="K225" s="50">
        <f t="shared" si="30"/>
        <v>93.054423076923072</v>
      </c>
      <c r="L225" s="50">
        <f t="shared" si="30"/>
        <v>-1.9000517418088617E-2</v>
      </c>
    </row>
    <row r="226" spans="1:12" ht="18" thickBot="1" x14ac:dyDescent="0.35">
      <c r="A226" s="43" t="s">
        <v>31</v>
      </c>
      <c r="B226" s="49"/>
      <c r="C226" s="50">
        <f>AVERAGE(C122:C173)</f>
        <v>1.6301923076923071</v>
      </c>
      <c r="D226" s="50">
        <f t="shared" ref="D226:L226" si="31">AVERAGE(D122:D173)</f>
        <v>4.4980065978936874E-3</v>
      </c>
      <c r="E226" s="50">
        <f t="shared" si="31"/>
        <v>3.5538461538461537</v>
      </c>
      <c r="F226" s="50">
        <f t="shared" si="31"/>
        <v>4.7747810872825734E-4</v>
      </c>
      <c r="G226" s="50">
        <f t="shared" si="31"/>
        <v>111.96923076923078</v>
      </c>
      <c r="H226" s="50">
        <f t="shared" si="31"/>
        <v>-1.8658154178006021E-3</v>
      </c>
      <c r="I226" s="50">
        <f t="shared" si="31"/>
        <v>2.3144999999999998</v>
      </c>
      <c r="J226" s="50">
        <f t="shared" si="31"/>
        <v>9.1891254389669837E-3</v>
      </c>
      <c r="K226" s="50">
        <f t="shared" si="31"/>
        <v>58.422692307692323</v>
      </c>
      <c r="L226" s="50">
        <f t="shared" si="31"/>
        <v>1.513296866652015E-2</v>
      </c>
    </row>
    <row r="227" spans="1:12" ht="18" thickBot="1" x14ac:dyDescent="0.35">
      <c r="A227" s="43" t="s">
        <v>32</v>
      </c>
      <c r="B227" s="49"/>
      <c r="C227" s="50">
        <f>AVERAGE(C174:C217)</f>
        <v>1.6822727272727271</v>
      </c>
      <c r="D227" s="50">
        <f t="shared" ref="D227:L227" si="32">AVERAGE(D174:D217)</f>
        <v>2.8220013057883232E-2</v>
      </c>
      <c r="E227" s="50">
        <f t="shared" si="32"/>
        <v>3.6900000000000004</v>
      </c>
      <c r="F227" s="50">
        <f t="shared" si="32"/>
        <v>3.9485179086944364E-2</v>
      </c>
      <c r="G227" s="50">
        <f t="shared" si="32"/>
        <v>108.73909090909092</v>
      </c>
      <c r="H227" s="50">
        <f t="shared" si="32"/>
        <v>3.6927011113321133E-2</v>
      </c>
      <c r="I227" s="50">
        <f t="shared" si="32"/>
        <v>2.7156136363636367</v>
      </c>
      <c r="J227" s="50">
        <f t="shared" si="32"/>
        <v>4.7261520419257944E-3</v>
      </c>
      <c r="K227" s="50">
        <f t="shared" si="32"/>
        <v>74.21022727272728</v>
      </c>
      <c r="L227" s="50">
        <f t="shared" si="32"/>
        <v>5.0498048558994804E-3</v>
      </c>
    </row>
    <row r="228" spans="1:12" ht="18" thickBot="1" x14ac:dyDescent="0.35">
      <c r="A228" s="43"/>
      <c r="B228" s="49"/>
      <c r="C228" s="50"/>
      <c r="D228" s="51"/>
      <c r="E228" s="49"/>
      <c r="F228" s="51"/>
      <c r="G228" s="52"/>
      <c r="H228" s="53"/>
      <c r="I228" s="49"/>
      <c r="J228" s="51"/>
      <c r="K228" s="49"/>
      <c r="L228" s="51"/>
    </row>
    <row r="230" spans="1:12" s="11" customFormat="1" ht="15" x14ac:dyDescent="0.25"/>
    <row r="231" spans="1:12" ht="15" x14ac:dyDescent="0.25">
      <c r="A231" s="10" t="s">
        <v>33</v>
      </c>
    </row>
    <row r="232" spans="1:12" ht="9" customHeight="1" x14ac:dyDescent="0.2"/>
    <row r="233" spans="1:12" x14ac:dyDescent="0.2">
      <c r="A233" s="9" t="s">
        <v>34</v>
      </c>
    </row>
    <row r="234" spans="1:12" ht="7.5" customHeight="1" x14ac:dyDescent="0.2"/>
    <row r="235" spans="1:12" ht="15" x14ac:dyDescent="0.25">
      <c r="A235" s="10" t="s">
        <v>13</v>
      </c>
    </row>
    <row r="236" spans="1:12" x14ac:dyDescent="0.2">
      <c r="A236" s="66" t="s">
        <v>35</v>
      </c>
    </row>
    <row r="238" spans="1:12" ht="15" x14ac:dyDescent="0.25">
      <c r="A238" s="10" t="s">
        <v>36</v>
      </c>
    </row>
    <row r="239" spans="1:12" x14ac:dyDescent="0.2">
      <c r="A239" s="66" t="s">
        <v>37</v>
      </c>
    </row>
    <row r="240" spans="1:12" x14ac:dyDescent="0.2">
      <c r="A240" s="66"/>
    </row>
    <row r="241" spans="1:1" ht="15" x14ac:dyDescent="0.25">
      <c r="A241" s="10" t="s">
        <v>38</v>
      </c>
    </row>
    <row r="242" spans="1:1" x14ac:dyDescent="0.2">
      <c r="A242" s="66" t="s">
        <v>39</v>
      </c>
    </row>
    <row r="243" spans="1:1" x14ac:dyDescent="0.2">
      <c r="A243" t="s">
        <v>40</v>
      </c>
    </row>
    <row r="244" spans="1:1" x14ac:dyDescent="0.2">
      <c r="A244" s="67">
        <v>40488</v>
      </c>
    </row>
  </sheetData>
  <phoneticPr fontId="18" type="noConversion"/>
  <hyperlinks>
    <hyperlink ref="A236" r:id="rId1"/>
    <hyperlink ref="A239" r:id="rId2"/>
    <hyperlink ref="A242"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FF00"/>
  </sheetPr>
  <dimension ref="A1:P214"/>
  <sheetViews>
    <sheetView zoomScale="80" zoomScaleNormal="80" workbookViewId="0">
      <selection activeCell="N42" sqref="N42"/>
    </sheetView>
  </sheetViews>
  <sheetFormatPr defaultRowHeight="12.75" x14ac:dyDescent="0.2"/>
  <cols>
    <col min="1" max="1" width="12.7109375" customWidth="1"/>
    <col min="7" max="7" width="5.28515625" customWidth="1"/>
    <col min="8" max="8" width="18.140625" customWidth="1"/>
    <col min="9" max="9" width="11.28515625" customWidth="1"/>
    <col min="10" max="10" width="14.28515625" customWidth="1"/>
    <col min="11" max="11" width="10.5703125" customWidth="1"/>
  </cols>
  <sheetData>
    <row r="1" spans="1:13" ht="16.5" thickTop="1" thickBot="1" x14ac:dyDescent="0.3">
      <c r="A1" s="7" t="str">
        <f>[3]Correlation!A1</f>
        <v xml:space="preserve">date </v>
      </c>
      <c r="B1" s="114" t="str">
        <f>Correlation!B1</f>
        <v>etoh</v>
      </c>
      <c r="C1" s="7" t="str">
        <f>Correlation!C1</f>
        <v>corn</v>
      </c>
      <c r="D1" s="7" t="str">
        <f>Correlation!D1</f>
        <v>ddg</v>
      </c>
      <c r="E1" s="7" t="str">
        <f>Correlation!E1</f>
        <v>gas</v>
      </c>
      <c r="F1" s="7" t="str">
        <f>Correlation!F1</f>
        <v>oil</v>
      </c>
    </row>
    <row r="2" spans="1:13" ht="15.75" thickTop="1" x14ac:dyDescent="0.25">
      <c r="A2" s="115">
        <v>38996</v>
      </c>
      <c r="B2" s="116">
        <f>Correlation!B2</f>
        <v>1.5666116744399456E-2</v>
      </c>
      <c r="C2" s="116">
        <f>Correlation!C2</f>
        <v>5.7351296471465599E-2</v>
      </c>
      <c r="D2" s="116">
        <f>Correlation!D2</f>
        <v>6.4392652856370206E-2</v>
      </c>
      <c r="E2" s="116">
        <f>Correlation!E2</f>
        <v>-6.8290727499422301E-3</v>
      </c>
      <c r="F2" s="116">
        <f>Correlation!F2</f>
        <v>-1.8776221465943359E-2</v>
      </c>
      <c r="H2" s="10" t="s">
        <v>57</v>
      </c>
    </row>
    <row r="3" spans="1:13" ht="15" x14ac:dyDescent="0.25">
      <c r="A3" s="115">
        <v>39003</v>
      </c>
      <c r="B3" s="116">
        <f>Correlation!B3</f>
        <v>4.5577508496319155E-2</v>
      </c>
      <c r="C3" s="116">
        <f>Correlation!C3</f>
        <v>5.423976893699687E-2</v>
      </c>
      <c r="D3" s="116">
        <f>Correlation!D3</f>
        <v>8.0379294684455468E-2</v>
      </c>
      <c r="E3" s="116">
        <f>Correlation!E3</f>
        <v>1.2258950344311612E-2</v>
      </c>
      <c r="F3" s="116">
        <f>Correlation!F3</f>
        <v>2.0711955713437796E-2</v>
      </c>
      <c r="H3" t="s">
        <v>58</v>
      </c>
    </row>
    <row r="4" spans="1:13" ht="15.75" thickBot="1" x14ac:dyDescent="0.3">
      <c r="A4" s="115">
        <v>39010</v>
      </c>
      <c r="B4" s="116">
        <f>Correlation!B4</f>
        <v>1.9608471388376337E-2</v>
      </c>
      <c r="C4" s="116">
        <f>Correlation!C4</f>
        <v>9.2736367853290327E-3</v>
      </c>
      <c r="D4" s="116">
        <f>Correlation!D4</f>
        <v>7.7204061317346265E-2</v>
      </c>
      <c r="E4" s="116">
        <f>Correlation!E4</f>
        <v>9.0212004313770713E-4</v>
      </c>
      <c r="F4" s="116">
        <f>Correlation!F4</f>
        <v>-4.0693787384396369E-3</v>
      </c>
    </row>
    <row r="5" spans="1:13" ht="15" x14ac:dyDescent="0.25">
      <c r="A5" s="115">
        <v>39017</v>
      </c>
      <c r="B5" s="116">
        <f>Correlation!B5</f>
        <v>1.9231361927887592E-2</v>
      </c>
      <c r="C5" s="116">
        <f>Correlation!C5</f>
        <v>2.7315810646962924E-2</v>
      </c>
      <c r="D5" s="116">
        <f>Correlation!D5</f>
        <v>6.1174223369153603E-2</v>
      </c>
      <c r="E5" s="116">
        <f>Correlation!E5</f>
        <v>1.3516559841152537E-3</v>
      </c>
      <c r="F5" s="116">
        <f>Correlation!F5</f>
        <v>-2.1193885909916645E-2</v>
      </c>
      <c r="H5" s="117" t="s">
        <v>59</v>
      </c>
      <c r="I5" s="117"/>
    </row>
    <row r="6" spans="1:13" ht="15" x14ac:dyDescent="0.25">
      <c r="A6" s="115">
        <v>39024</v>
      </c>
      <c r="B6" s="116">
        <f>Correlation!B6</f>
        <v>0</v>
      </c>
      <c r="C6" s="116">
        <f>Correlation!C6</f>
        <v>4.1061486797773918E-2</v>
      </c>
      <c r="D6" s="116">
        <f>Correlation!D6</f>
        <v>3.8797969540982628E-2</v>
      </c>
      <c r="E6" s="116">
        <f>Correlation!E6</f>
        <v>2.4901242169312127E-2</v>
      </c>
      <c r="F6" s="116">
        <f>Correlation!F6</f>
        <v>6.0041116332432698E-2</v>
      </c>
      <c r="H6" s="118" t="s">
        <v>60</v>
      </c>
      <c r="I6" s="118">
        <v>0.73811399747151696</v>
      </c>
    </row>
    <row r="7" spans="1:13" ht="15" x14ac:dyDescent="0.25">
      <c r="A7" s="115">
        <v>39031</v>
      </c>
      <c r="B7" s="116">
        <f>Correlation!B7</f>
        <v>1.8868484304382736E-2</v>
      </c>
      <c r="C7" s="116">
        <f>Correlation!C7</f>
        <v>-1.7391742711869222E-2</v>
      </c>
      <c r="D7" s="116">
        <f>Correlation!D7</f>
        <v>6.149478160780629E-2</v>
      </c>
      <c r="E7" s="116">
        <f>Correlation!E7</f>
        <v>-4.4014155562107343E-3</v>
      </c>
      <c r="F7" s="116">
        <f>Correlation!F7</f>
        <v>3.685447799343259E-2</v>
      </c>
      <c r="H7" s="118" t="s">
        <v>61</v>
      </c>
      <c r="I7" s="118">
        <v>0.54481227326338255</v>
      </c>
    </row>
    <row r="8" spans="1:13" ht="15" x14ac:dyDescent="0.25">
      <c r="A8" s="115">
        <v>39038</v>
      </c>
      <c r="B8" s="116">
        <f>Correlation!B8</f>
        <v>3.6701366850427963E-2</v>
      </c>
      <c r="C8" s="116">
        <f>Correlation!C8</f>
        <v>-1.176484157958637E-2</v>
      </c>
      <c r="D8" s="116">
        <f>Correlation!D8</f>
        <v>8.7094770654422282E-3</v>
      </c>
      <c r="E8" s="116">
        <f>Correlation!E8</f>
        <v>1.0094446040756365E-2</v>
      </c>
      <c r="F8" s="116">
        <f>Correlation!F8</f>
        <v>-1.3775820535314605E-2</v>
      </c>
      <c r="H8" s="118" t="s">
        <v>62</v>
      </c>
      <c r="I8" s="118">
        <v>0.53588702371952734</v>
      </c>
    </row>
    <row r="9" spans="1:13" ht="15" x14ac:dyDescent="0.25">
      <c r="A9" s="115">
        <v>39045</v>
      </c>
      <c r="B9" s="116">
        <f>Correlation!B9</f>
        <v>2.2272635609123223E-2</v>
      </c>
      <c r="C9" s="116">
        <f>Correlation!C9</f>
        <v>2.9542118974316043E-3</v>
      </c>
      <c r="D9" s="116">
        <f>Correlation!D9</f>
        <v>-2.7629778777159375E-3</v>
      </c>
      <c r="E9" s="116">
        <f>Correlation!E9</f>
        <v>5.6608032723998664E-3</v>
      </c>
      <c r="F9" s="116">
        <f>Correlation!F9</f>
        <v>5.4605159343007791E-3</v>
      </c>
      <c r="H9" s="118" t="s">
        <v>63</v>
      </c>
      <c r="I9" s="118">
        <v>3.1425100880742157E-2</v>
      </c>
    </row>
    <row r="10" spans="1:13" ht="15.75" thickBot="1" x14ac:dyDescent="0.3">
      <c r="A10" s="115">
        <v>39052</v>
      </c>
      <c r="B10" s="116">
        <f>Correlation!B10</f>
        <v>2.6088436084297874E-2</v>
      </c>
      <c r="C10" s="116">
        <f>Correlation!C10</f>
        <v>4.0467949552846424E-2</v>
      </c>
      <c r="D10" s="116">
        <f>Correlation!D10</f>
        <v>-3.9604012160969048E-3</v>
      </c>
      <c r="E10" s="116">
        <f>Correlation!E10</f>
        <v>-3.044142381228244E-3</v>
      </c>
      <c r="F10" s="116">
        <f>Correlation!F10</f>
        <v>-1.9984164920350794E-2</v>
      </c>
      <c r="H10" s="119" t="s">
        <v>64</v>
      </c>
      <c r="I10" s="119">
        <v>209</v>
      </c>
    </row>
    <row r="11" spans="1:13" ht="15" x14ac:dyDescent="0.25">
      <c r="A11" s="115">
        <v>39059</v>
      </c>
      <c r="B11" s="116">
        <f>Correlation!B11</f>
        <v>2.9500664396698056E-2</v>
      </c>
      <c r="C11" s="116">
        <f>Correlation!C11</f>
        <v>2.8050509276084604E-3</v>
      </c>
      <c r="D11" s="116">
        <f>Correlation!D11</f>
        <v>2.3256862164267183E-2</v>
      </c>
      <c r="E11" s="116">
        <f>Correlation!E11</f>
        <v>-7.769543778407096E-3</v>
      </c>
      <c r="F11" s="116">
        <f>Correlation!F11</f>
        <v>-1.9409058345760767E-2</v>
      </c>
    </row>
    <row r="12" spans="1:13" ht="15.75" thickBot="1" x14ac:dyDescent="0.3">
      <c r="A12" s="115">
        <v>39066</v>
      </c>
      <c r="B12" s="116">
        <f>Correlation!B12</f>
        <v>-1.2903404835907841E-2</v>
      </c>
      <c r="C12" s="116">
        <f>Correlation!C12</f>
        <v>-3.8523281996335403E-2</v>
      </c>
      <c r="D12" s="116">
        <f>Correlation!D12</f>
        <v>-2.1058447476151935E-2</v>
      </c>
      <c r="E12" s="116">
        <f>Correlation!E12</f>
        <v>-3.8370764453177685E-2</v>
      </c>
      <c r="F12" s="116">
        <f>Correlation!F12</f>
        <v>-7.75895108331522E-2</v>
      </c>
      <c r="H12" t="s">
        <v>65</v>
      </c>
    </row>
    <row r="13" spans="1:13" ht="15" x14ac:dyDescent="0.25">
      <c r="A13" s="115">
        <v>39073</v>
      </c>
      <c r="B13" s="116">
        <f>Correlation!B13</f>
        <v>-6.2520356981334055E-2</v>
      </c>
      <c r="C13" s="116">
        <f>Correlation!C13</f>
        <v>0.10051495802430345</v>
      </c>
      <c r="D13" s="116">
        <f>Correlation!D13</f>
        <v>2.790213200404695E-2</v>
      </c>
      <c r="E13" s="116">
        <f>Correlation!E13</f>
        <v>-3.0843566452240522E-2</v>
      </c>
      <c r="F13" s="116">
        <f>Correlation!F13</f>
        <v>-5.2264339661592829E-2</v>
      </c>
      <c r="H13" s="120"/>
      <c r="I13" s="120" t="s">
        <v>66</v>
      </c>
      <c r="J13" s="120" t="s">
        <v>67</v>
      </c>
      <c r="K13" s="120" t="s">
        <v>68</v>
      </c>
      <c r="L13" s="120" t="s">
        <v>69</v>
      </c>
      <c r="M13" s="120" t="s">
        <v>70</v>
      </c>
    </row>
    <row r="14" spans="1:13" ht="15" x14ac:dyDescent="0.25">
      <c r="A14" s="115">
        <v>39080</v>
      </c>
      <c r="B14" s="116">
        <f>Correlation!B14</f>
        <v>-8.1579986992422873E-2</v>
      </c>
      <c r="C14" s="116">
        <f>Correlation!C14</f>
        <v>5.4496047675646848E-3</v>
      </c>
      <c r="D14" s="116">
        <f>Correlation!D14</f>
        <v>4.138627554717178E-2</v>
      </c>
      <c r="E14" s="116">
        <f>Correlation!E14</f>
        <v>5.6791444641100738E-3</v>
      </c>
      <c r="F14" s="116">
        <f>Correlation!F14</f>
        <v>3.5783932854754986E-2</v>
      </c>
      <c r="H14" s="118" t="s">
        <v>71</v>
      </c>
      <c r="I14" s="118">
        <v>4</v>
      </c>
      <c r="J14" s="118">
        <v>0.24112368237477111</v>
      </c>
      <c r="K14" s="118">
        <v>6.0280920593692777E-2</v>
      </c>
      <c r="L14" s="118">
        <v>61.041685230915341</v>
      </c>
      <c r="M14" s="118">
        <v>7.7273070333185583E-34</v>
      </c>
    </row>
    <row r="15" spans="1:13" ht="15" x14ac:dyDescent="0.25">
      <c r="A15" s="115">
        <v>39087</v>
      </c>
      <c r="B15" s="116">
        <f>Correlation!B15</f>
        <v>-0.10536051565782628</v>
      </c>
      <c r="C15" s="116">
        <f>Correlation!C15</f>
        <v>0</v>
      </c>
      <c r="D15" s="116">
        <f>Correlation!D15</f>
        <v>-3.4044213353754293E-2</v>
      </c>
      <c r="E15" s="116">
        <f>Correlation!E15</f>
        <v>1.4988570999430725E-2</v>
      </c>
      <c r="F15" s="116">
        <f>Correlation!F15</f>
        <v>5.0067575456613278E-2</v>
      </c>
      <c r="H15" s="118" t="s">
        <v>72</v>
      </c>
      <c r="I15" s="118">
        <v>204</v>
      </c>
      <c r="J15" s="118">
        <v>0.20145754093442358</v>
      </c>
      <c r="K15" s="118">
        <v>9.8753696536482151E-4</v>
      </c>
      <c r="L15" s="118"/>
      <c r="M15" s="118"/>
    </row>
    <row r="16" spans="1:13" ht="15.75" thickBot="1" x14ac:dyDescent="0.3">
      <c r="A16" s="115">
        <v>39094</v>
      </c>
      <c r="B16" s="116">
        <f>Correlation!B16</f>
        <v>5.5401803756153509E-3</v>
      </c>
      <c r="C16" s="116">
        <f>Correlation!C16</f>
        <v>2.7137058715961042E-3</v>
      </c>
      <c r="D16" s="116">
        <f>Correlation!D16</f>
        <v>-1.3712261863981895E-2</v>
      </c>
      <c r="E16" s="116">
        <f>Correlation!E16</f>
        <v>2.1615005695836659E-2</v>
      </c>
      <c r="F16" s="116">
        <f>Correlation!F16</f>
        <v>5.5186415567290731E-2</v>
      </c>
      <c r="H16" s="119" t="s">
        <v>0</v>
      </c>
      <c r="I16" s="119">
        <v>208</v>
      </c>
      <c r="J16" s="119">
        <v>0.44258122330919469</v>
      </c>
      <c r="K16" s="119"/>
      <c r="L16" s="119"/>
      <c r="M16" s="119"/>
    </row>
    <row r="17" spans="1:16" ht="15.75" thickBot="1" x14ac:dyDescent="0.3">
      <c r="A17" s="115">
        <v>39101</v>
      </c>
      <c r="B17" s="116">
        <f>Correlation!B17</f>
        <v>4.8527040894660381E-2</v>
      </c>
      <c r="C17" s="116">
        <f>Correlation!C17</f>
        <v>3.7238345140118791E-2</v>
      </c>
      <c r="D17" s="116">
        <f>Correlation!D17</f>
        <v>0</v>
      </c>
      <c r="E17" s="116">
        <f>Correlation!E17</f>
        <v>2.382670594316558E-2</v>
      </c>
      <c r="F17" s="116">
        <f>Correlation!F17</f>
        <v>-1.0214987156313622E-2</v>
      </c>
    </row>
    <row r="18" spans="1:16" ht="15" x14ac:dyDescent="0.25">
      <c r="A18" s="115">
        <v>39108</v>
      </c>
      <c r="B18" s="116">
        <f>Correlation!B18</f>
        <v>4.6280752564006392E-2</v>
      </c>
      <c r="C18" s="116">
        <f>Correlation!C18</f>
        <v>4.3429557927335889E-2</v>
      </c>
      <c r="D18" s="116">
        <f>Correlation!D18</f>
        <v>0</v>
      </c>
      <c r="E18" s="116">
        <f>Correlation!E18</f>
        <v>3.7921301125281574E-2</v>
      </c>
      <c r="F18" s="116">
        <f>Correlation!F18</f>
        <v>1.3278363092051885E-2</v>
      </c>
      <c r="H18" s="120"/>
      <c r="I18" s="120" t="s">
        <v>73</v>
      </c>
      <c r="J18" s="120" t="s">
        <v>63</v>
      </c>
      <c r="K18" s="120" t="s">
        <v>74</v>
      </c>
      <c r="L18" s="120" t="s">
        <v>75</v>
      </c>
      <c r="M18" s="120" t="s">
        <v>76</v>
      </c>
      <c r="N18" s="120" t="s">
        <v>77</v>
      </c>
      <c r="O18" s="120" t="s">
        <v>78</v>
      </c>
      <c r="P18" s="120" t="s">
        <v>79</v>
      </c>
    </row>
    <row r="19" spans="1:16" ht="15" x14ac:dyDescent="0.25">
      <c r="A19" s="115">
        <v>39115</v>
      </c>
      <c r="B19" s="116">
        <f>Correlation!B19</f>
        <v>5.9701669865037544E-3</v>
      </c>
      <c r="C19" s="116">
        <f>Correlation!C19</f>
        <v>-5.4658412537863965E-2</v>
      </c>
      <c r="D19" s="116">
        <f>Correlation!D19</f>
        <v>-1.6814011041454583E-2</v>
      </c>
      <c r="E19" s="116">
        <f>Correlation!E19</f>
        <v>-6.8170300082505048E-2</v>
      </c>
      <c r="F19" s="116">
        <f>Correlation!F19</f>
        <v>-0.11337134529975745</v>
      </c>
      <c r="H19" s="118" t="s">
        <v>80</v>
      </c>
      <c r="I19" s="118">
        <v>1.1916674917244081E-3</v>
      </c>
      <c r="J19" s="118">
        <v>2.2097131348757081E-3</v>
      </c>
      <c r="K19" s="118">
        <v>0.53928606067295559</v>
      </c>
      <c r="L19" s="118">
        <v>0.59027757320940877</v>
      </c>
      <c r="M19" s="118">
        <v>-3.1651374733106747E-3</v>
      </c>
      <c r="N19" s="118">
        <v>5.5484724567594909E-3</v>
      </c>
      <c r="O19" s="118">
        <v>-3.1651374733106747E-3</v>
      </c>
      <c r="P19" s="118">
        <v>5.5484724567594909E-3</v>
      </c>
    </row>
    <row r="20" spans="1:16" ht="15" x14ac:dyDescent="0.25">
      <c r="A20" s="115">
        <v>39122</v>
      </c>
      <c r="B20" s="116">
        <f>Correlation!B20</f>
        <v>4.3172171865208574E-2</v>
      </c>
      <c r="C20" s="116">
        <f>Correlation!C20</f>
        <v>1.5000281259492598E-2</v>
      </c>
      <c r="D20" s="116">
        <f>Correlation!D20</f>
        <v>1.906578270581669E-3</v>
      </c>
      <c r="E20" s="116">
        <f>Correlation!E20</f>
        <v>1.5729301908543908E-2</v>
      </c>
      <c r="F20" s="116">
        <f>Correlation!F20</f>
        <v>6.322846464375872E-3</v>
      </c>
      <c r="H20" s="118" t="s">
        <v>81</v>
      </c>
      <c r="I20" s="118">
        <v>2.5694148201167721E-2</v>
      </c>
      <c r="J20" s="118">
        <v>5.423185017638741E-2</v>
      </c>
      <c r="K20" s="118">
        <v>0.47378336010293398</v>
      </c>
      <c r="L20" s="118">
        <v>0.63616105599662709</v>
      </c>
      <c r="M20" s="118">
        <v>-8.1232669756500578E-2</v>
      </c>
      <c r="N20" s="118">
        <v>0.13262096615883601</v>
      </c>
      <c r="O20" s="118">
        <v>-8.1232669756500578E-2</v>
      </c>
      <c r="P20" s="118">
        <v>0.13262096615883601</v>
      </c>
    </row>
    <row r="21" spans="1:16" ht="15" x14ac:dyDescent="0.25">
      <c r="A21" s="115">
        <v>39129</v>
      </c>
      <c r="B21" s="116">
        <f>Correlation!B21</f>
        <v>2.7779564107075671E-2</v>
      </c>
      <c r="C21" s="116">
        <f>Correlation!C21</f>
        <v>-8.0042707673536495E-2</v>
      </c>
      <c r="D21" s="116">
        <f>Correlation!D21</f>
        <v>-5.7306747089849834E-3</v>
      </c>
      <c r="E21" s="116">
        <f>Correlation!E21</f>
        <v>4.7904283226327393E-3</v>
      </c>
      <c r="F21" s="116">
        <f>Correlation!F21</f>
        <v>-2.0743101818646498E-2</v>
      </c>
      <c r="H21" s="118" t="s">
        <v>82</v>
      </c>
      <c r="I21" s="121">
        <v>0.58251027571103853</v>
      </c>
      <c r="J21" s="118">
        <v>6.1155658275690583E-2</v>
      </c>
      <c r="K21" s="118">
        <v>9.5250430153997172</v>
      </c>
      <c r="L21" s="118">
        <v>5.004318614545097E-18</v>
      </c>
      <c r="M21" s="118">
        <v>0.46193205611761401</v>
      </c>
      <c r="N21" s="118">
        <v>0.70308849530446305</v>
      </c>
      <c r="O21" s="118">
        <v>0.46193205611761401</v>
      </c>
      <c r="P21" s="118">
        <v>0.70308849530446305</v>
      </c>
    </row>
    <row r="22" spans="1:16" ht="15" x14ac:dyDescent="0.25">
      <c r="A22" s="115">
        <v>39136</v>
      </c>
      <c r="B22" s="116">
        <f>Correlation!B22</f>
        <v>2.7028672387919419E-2</v>
      </c>
      <c r="C22" s="116">
        <f>Correlation!C22</f>
        <v>-5.3908486348764233E-3</v>
      </c>
      <c r="D22" s="116">
        <f>Correlation!D22</f>
        <v>-1.0785928910151331E-2</v>
      </c>
      <c r="E22" s="116">
        <f>Correlation!E22</f>
        <v>1.1483000854997278E-2</v>
      </c>
      <c r="F22" s="116">
        <f>Correlation!F22</f>
        <v>-6.8259650703998706E-3</v>
      </c>
      <c r="H22" s="118" t="s">
        <v>83</v>
      </c>
      <c r="I22" s="118">
        <v>0.25652634410429437</v>
      </c>
      <c r="J22" s="118">
        <v>0.1116263959946342</v>
      </c>
      <c r="K22" s="118">
        <v>2.2980796058006336</v>
      </c>
      <c r="L22" s="118">
        <v>2.2570896815288399E-2</v>
      </c>
      <c r="M22" s="118">
        <v>3.6436944886531264E-2</v>
      </c>
      <c r="N22" s="118">
        <v>0.47661574332205747</v>
      </c>
      <c r="O22" s="118">
        <v>3.6436944886531264E-2</v>
      </c>
      <c r="P22" s="118">
        <v>0.47661574332205747</v>
      </c>
    </row>
    <row r="23" spans="1:16" ht="15.75" thickBot="1" x14ac:dyDescent="0.3">
      <c r="A23" s="115">
        <v>39143</v>
      </c>
      <c r="B23" s="116">
        <f>Correlation!B23</f>
        <v>-1.3423020332140548E-2</v>
      </c>
      <c r="C23" s="116">
        <f>Correlation!C23</f>
        <v>-2.4625047305389294E-2</v>
      </c>
      <c r="D23" s="116">
        <f>Correlation!D23</f>
        <v>-2.2719347745483984E-2</v>
      </c>
      <c r="E23" s="116">
        <f>Correlation!E23</f>
        <v>3.7098535609815679E-2</v>
      </c>
      <c r="F23" s="116">
        <f>Correlation!F23</f>
        <v>7.2467022152071028E-2</v>
      </c>
      <c r="H23" s="119" t="s">
        <v>84</v>
      </c>
      <c r="I23" s="119">
        <v>-0.10608742796617898</v>
      </c>
      <c r="J23" s="119">
        <v>6.4142311559688137E-2</v>
      </c>
      <c r="K23" s="119">
        <v>-1.6539383347208882</v>
      </c>
      <c r="L23" s="119">
        <v>9.9677929341764573E-2</v>
      </c>
      <c r="M23" s="119">
        <v>-0.23255431503013954</v>
      </c>
      <c r="N23" s="119">
        <v>2.0379459097781577E-2</v>
      </c>
      <c r="O23" s="119">
        <v>-0.23255431503013954</v>
      </c>
      <c r="P23" s="119">
        <v>2.0379459097781577E-2</v>
      </c>
    </row>
    <row r="24" spans="1:16" ht="15" x14ac:dyDescent="0.25">
      <c r="A24" s="115">
        <v>39150</v>
      </c>
      <c r="B24" s="116">
        <f>Correlation!B24</f>
        <v>-2.2780028331819999E-2</v>
      </c>
      <c r="C24" s="116">
        <f>Correlation!C24</f>
        <v>-9.2820207567508958E-2</v>
      </c>
      <c r="D24" s="116">
        <f>Correlation!D24</f>
        <v>-6.7183325641448063E-2</v>
      </c>
      <c r="E24" s="116">
        <f>Correlation!E24</f>
        <v>4.0882690705518372E-2</v>
      </c>
      <c r="F24" s="116">
        <f>Correlation!F24</f>
        <v>4.1317739387055172E-2</v>
      </c>
    </row>
    <row r="25" spans="1:16" ht="15" x14ac:dyDescent="0.25">
      <c r="A25" s="115">
        <v>39157</v>
      </c>
      <c r="B25" s="116">
        <f>Correlation!B25</f>
        <v>-1.8605187831034469E-2</v>
      </c>
      <c r="C25" s="116">
        <f>Correlation!C25</f>
        <v>9.0772181511166797E-3</v>
      </c>
      <c r="D25" s="116">
        <f>Correlation!D25</f>
        <v>-3.9322413239814058E-2</v>
      </c>
      <c r="E25" s="116">
        <f>Correlation!E25</f>
        <v>2.7300546084842985E-2</v>
      </c>
      <c r="F25" s="116">
        <f>Correlation!F25</f>
        <v>-2.2048663359911069E-2</v>
      </c>
      <c r="H25" s="118" t="s">
        <v>85</v>
      </c>
    </row>
    <row r="26" spans="1:16" ht="15" x14ac:dyDescent="0.25">
      <c r="A26" s="115">
        <v>39164</v>
      </c>
      <c r="B26" s="116">
        <f>Correlation!B26</f>
        <v>1.3986241974740091E-2</v>
      </c>
      <c r="C26" s="116">
        <f>Correlation!C26</f>
        <v>8.9955629085780031E-3</v>
      </c>
      <c r="D26" s="116">
        <f>Correlation!D26</f>
        <v>-1.7337620325677264E-2</v>
      </c>
      <c r="E26" s="116">
        <f>Correlation!E26</f>
        <v>-3.9055615062275153E-3</v>
      </c>
      <c r="F26" s="116">
        <f>Correlation!F26</f>
        <v>-9.332382994379872E-3</v>
      </c>
      <c r="H26" s="118" t="s">
        <v>86</v>
      </c>
    </row>
    <row r="27" spans="1:16" ht="15" x14ac:dyDescent="0.25">
      <c r="A27" s="115">
        <v>39171</v>
      </c>
      <c r="B27" s="116">
        <f>Correlation!B27</f>
        <v>5.1679701584425976E-3</v>
      </c>
      <c r="C27" s="116">
        <f>Correlation!C27</f>
        <v>5.5248759319698072E-3</v>
      </c>
      <c r="D27" s="116">
        <f>Correlation!D27</f>
        <v>1.5037877364540502E-2</v>
      </c>
      <c r="E27" s="116">
        <f>Correlation!E27</f>
        <v>-1.6117002743010256E-2</v>
      </c>
      <c r="F27" s="116">
        <f>Correlation!F27</f>
        <v>-1.1485168983242299E-2</v>
      </c>
      <c r="H27" s="118" t="s">
        <v>87</v>
      </c>
      <c r="K27" t="s">
        <v>88</v>
      </c>
    </row>
    <row r="28" spans="1:16" ht="15.75" thickBot="1" x14ac:dyDescent="0.3">
      <c r="A28" s="115">
        <v>39178</v>
      </c>
      <c r="B28" s="116">
        <f>Correlation!B28</f>
        <v>-2.309571479464928E-2</v>
      </c>
      <c r="C28" s="116">
        <f>Correlation!C28</f>
        <v>2.9413885206293407E-2</v>
      </c>
      <c r="D28" s="116">
        <f>Correlation!D28</f>
        <v>-1.4462580053272365E-2</v>
      </c>
      <c r="E28" s="116">
        <f>Correlation!E28</f>
        <v>2.7010419882762364E-2</v>
      </c>
      <c r="F28" s="116">
        <f>Correlation!F28</f>
        <v>9.5839321219281844E-3</v>
      </c>
      <c r="H28" s="119" t="s">
        <v>89</v>
      </c>
    </row>
    <row r="29" spans="1:16" ht="15" x14ac:dyDescent="0.25">
      <c r="A29" s="115">
        <v>39185</v>
      </c>
      <c r="B29" s="116">
        <f>Correlation!B29</f>
        <v>1.3921338518608014E-2</v>
      </c>
      <c r="C29" s="116">
        <f>Correlation!C29</f>
        <v>-2.0498521548341045E-2</v>
      </c>
      <c r="D29" s="116">
        <f>Correlation!D29</f>
        <v>-2.2814677766171399E-2</v>
      </c>
      <c r="E29" s="116">
        <f>Correlation!E29</f>
        <v>2.207304242632898E-2</v>
      </c>
      <c r="F29" s="116">
        <f>Correlation!F29</f>
        <v>-2.885958222807794E-2</v>
      </c>
    </row>
    <row r="30" spans="1:16" ht="15" x14ac:dyDescent="0.25">
      <c r="A30" s="115">
        <v>39192</v>
      </c>
      <c r="B30" s="116">
        <f>Correlation!B30</f>
        <v>1.3730192811902037E-2</v>
      </c>
      <c r="C30" s="116">
        <f>Correlation!C30</f>
        <v>8.8365818004981639E-3</v>
      </c>
      <c r="D30" s="116">
        <f>Correlation!D30</f>
        <v>-1.4528100562909744E-2</v>
      </c>
      <c r="E30" s="116">
        <f>Correlation!E30</f>
        <v>4.5230639469777789E-2</v>
      </c>
      <c r="F30" s="116">
        <f>Correlation!F30</f>
        <v>3.7689293904830355E-2</v>
      </c>
      <c r="H30" t="s">
        <v>90</v>
      </c>
    </row>
    <row r="31" spans="1:16" ht="15" x14ac:dyDescent="0.25">
      <c r="A31" s="115">
        <v>39199</v>
      </c>
      <c r="B31" s="116">
        <f>Correlation!B31</f>
        <v>-1.3730192811902131E-2</v>
      </c>
      <c r="C31" s="116">
        <f>Correlation!C31</f>
        <v>1.7442302663342388E-2</v>
      </c>
      <c r="D31" s="116">
        <f>Correlation!D31</f>
        <v>-2.2195732391784323E-2</v>
      </c>
      <c r="E31" s="116">
        <f>Correlation!E31</f>
        <v>-4.9953272778787321E-3</v>
      </c>
      <c r="F31" s="116">
        <f>Correlation!F31</f>
        <v>4.5712983094834042E-2</v>
      </c>
    </row>
    <row r="32" spans="1:16" ht="15" x14ac:dyDescent="0.25">
      <c r="A32" s="115">
        <v>39206</v>
      </c>
      <c r="B32" s="116">
        <f>Correlation!B32</f>
        <v>-4.6189458562944166E-3</v>
      </c>
      <c r="C32" s="116">
        <f>Correlation!C32</f>
        <v>2.2793009528556566E-2</v>
      </c>
      <c r="D32" s="116">
        <f>Correlation!D32</f>
        <v>7.4534506545809722E-3</v>
      </c>
      <c r="E32" s="116">
        <f>Correlation!E32</f>
        <v>-1.9915309700941318E-2</v>
      </c>
      <c r="F32" s="116">
        <f>Correlation!F32</f>
        <v>-1.6133246656715103E-2</v>
      </c>
    </row>
    <row r="33" spans="1:6" ht="15" x14ac:dyDescent="0.25">
      <c r="A33" s="115">
        <v>39213</v>
      </c>
      <c r="B33" s="116">
        <f>Correlation!B33</f>
        <v>4.6189458562944583E-3</v>
      </c>
      <c r="C33" s="116">
        <f>Correlation!C33</f>
        <v>3.0515543925950628E-2</v>
      </c>
      <c r="D33" s="116">
        <f>Correlation!D33</f>
        <v>-4.8171543673365888E-2</v>
      </c>
      <c r="E33" s="116">
        <f>Correlation!E33</f>
        <v>-2.9814262710426327E-2</v>
      </c>
      <c r="F33" s="116">
        <f>Correlation!F33</f>
        <v>3.1698374987191198E-2</v>
      </c>
    </row>
    <row r="34" spans="1:6" ht="15" x14ac:dyDescent="0.25">
      <c r="A34" s="115">
        <v>39220</v>
      </c>
      <c r="B34" s="116">
        <f>Correlation!B34</f>
        <v>-3.2789822822990838E-2</v>
      </c>
      <c r="C34" s="116">
        <f>Correlation!C34</f>
        <v>4.2787275205208766E-2</v>
      </c>
      <c r="D34" s="116">
        <f>Correlation!D34</f>
        <v>-9.3946411214656245E-3</v>
      </c>
      <c r="E34" s="116">
        <f>Correlation!E34</f>
        <v>-2.1949667380166925E-2</v>
      </c>
      <c r="F34" s="116">
        <f>Correlation!F34</f>
        <v>-1.0192169766227574E-2</v>
      </c>
    </row>
    <row r="35" spans="1:6" ht="15" x14ac:dyDescent="0.25">
      <c r="A35" s="115">
        <v>39227</v>
      </c>
      <c r="B35" s="116">
        <f>Correlation!B35</f>
        <v>-2.8987536873252298E-2</v>
      </c>
      <c r="C35" s="116">
        <f>Correlation!C35</f>
        <v>-5.2493558861436782E-3</v>
      </c>
      <c r="D35" s="116">
        <f>Correlation!D35</f>
        <v>2.2298045957373388E-2</v>
      </c>
      <c r="E35" s="116">
        <f>Correlation!E35</f>
        <v>-7.7637520771610628E-3</v>
      </c>
      <c r="F35" s="116">
        <f>Correlation!F35</f>
        <v>3.4694512743984746E-2</v>
      </c>
    </row>
    <row r="36" spans="1:6" ht="15" x14ac:dyDescent="0.25">
      <c r="A36" s="115">
        <v>39234</v>
      </c>
      <c r="B36" s="116">
        <f>Correlation!B36</f>
        <v>-4.9140148024291522E-3</v>
      </c>
      <c r="C36" s="116">
        <f>Correlation!C36</f>
        <v>-0.13805287734336849</v>
      </c>
      <c r="D36" s="116">
        <f>Correlation!D36</f>
        <v>-9.2736367853292149E-3</v>
      </c>
      <c r="E36" s="116">
        <f>Correlation!E36</f>
        <v>-6.118305965488474E-3</v>
      </c>
      <c r="F36" s="116">
        <f>Correlation!F36</f>
        <v>-2.7439041605965067E-3</v>
      </c>
    </row>
    <row r="37" spans="1:6" ht="15" x14ac:dyDescent="0.25">
      <c r="A37" s="115">
        <v>39241</v>
      </c>
      <c r="B37" s="116">
        <f>Correlation!B37</f>
        <v>-9.9010709827115698E-3</v>
      </c>
      <c r="C37" s="116">
        <f>Correlation!C37</f>
        <v>-8.1806598769651406E-2</v>
      </c>
      <c r="D37" s="116">
        <f>Correlation!D37</f>
        <v>-3.006585645699274E-3</v>
      </c>
      <c r="E37" s="116">
        <f>Correlation!E37</f>
        <v>1.2872806485156745E-2</v>
      </c>
      <c r="F37" s="116">
        <f>Correlation!F37</f>
        <v>3.2144551873011976E-2</v>
      </c>
    </row>
    <row r="38" spans="1:6" ht="15" x14ac:dyDescent="0.25">
      <c r="A38" s="115">
        <v>39248</v>
      </c>
      <c r="B38" s="116">
        <f>Correlation!B38</f>
        <v>-1.5037877364540446E-2</v>
      </c>
      <c r="C38" s="116">
        <f>Correlation!C38</f>
        <v>2.5891413932741709E-2</v>
      </c>
      <c r="D38" s="116">
        <f>Correlation!D38</f>
        <v>-1.633031161023725E-2</v>
      </c>
      <c r="E38" s="116">
        <f>Correlation!E38</f>
        <v>2.4930657992499453E-2</v>
      </c>
      <c r="F38" s="116">
        <f>Correlation!F38</f>
        <v>4.3107628804033758E-2</v>
      </c>
    </row>
    <row r="39" spans="1:6" ht="15" x14ac:dyDescent="0.25">
      <c r="A39" s="115">
        <v>39255</v>
      </c>
      <c r="B39" s="116">
        <f>Correlation!B39</f>
        <v>-2.0408871631207123E-2</v>
      </c>
      <c r="C39" s="116">
        <f>Correlation!C39</f>
        <v>-3.2470385030784157E-2</v>
      </c>
      <c r="D39" s="116">
        <f>Correlation!D39</f>
        <v>-8.4791181030613935E-3</v>
      </c>
      <c r="E39" s="116">
        <f>Correlation!E39</f>
        <v>-3.6100176721284405E-2</v>
      </c>
      <c r="F39" s="116">
        <f>Correlation!F39</f>
        <v>1.5175224473652521E-2</v>
      </c>
    </row>
    <row r="40" spans="1:6" ht="15" x14ac:dyDescent="0.25">
      <c r="A40" s="115">
        <v>39262</v>
      </c>
      <c r="B40" s="116">
        <f>Correlation!B40</f>
        <v>1.0256500167189061E-2</v>
      </c>
      <c r="C40" s="116">
        <f>Correlation!C40</f>
        <v>-5.7740994689516566E-2</v>
      </c>
      <c r="D40" s="116">
        <f>Correlation!D40</f>
        <v>-2.2605914198339731E-2</v>
      </c>
      <c r="E40" s="116">
        <f>Correlation!E40</f>
        <v>-3.0761022235914325E-2</v>
      </c>
      <c r="F40" s="116">
        <f>Correlation!F40</f>
        <v>-4.8927196227294967E-3</v>
      </c>
    </row>
    <row r="41" spans="1:6" ht="15" x14ac:dyDescent="0.25">
      <c r="A41" s="115">
        <v>39269</v>
      </c>
      <c r="B41" s="116">
        <f>Correlation!B41</f>
        <v>5.0890695074712281E-3</v>
      </c>
      <c r="C41" s="116">
        <f>Correlation!C41</f>
        <v>3.7740327982847113E-2</v>
      </c>
      <c r="D41" s="116">
        <f>Correlation!D41</f>
        <v>-1.0893247264549934E-3</v>
      </c>
      <c r="E41" s="116">
        <f>Correlation!E41</f>
        <v>-1.1650617219975363E-2</v>
      </c>
      <c r="F41" s="116">
        <f>Correlation!F41</f>
        <v>1.1564043879315681E-2</v>
      </c>
    </row>
    <row r="42" spans="1:6" ht="15" x14ac:dyDescent="0.25">
      <c r="A42" s="115">
        <v>39276</v>
      </c>
      <c r="B42" s="116">
        <f>Correlation!B42</f>
        <v>-2.0513539833103018E-2</v>
      </c>
      <c r="C42" s="116">
        <f>Correlation!C42</f>
        <v>3.6367644170874791E-2</v>
      </c>
      <c r="D42" s="116">
        <f>Correlation!D42</f>
        <v>-5.4644944720787375E-3</v>
      </c>
      <c r="E42" s="116">
        <f>Correlation!E42</f>
        <v>-2.2989518224698718E-2</v>
      </c>
      <c r="F42" s="116">
        <f>Correlation!F42</f>
        <v>-5.8471172656194247E-2</v>
      </c>
    </row>
    <row r="43" spans="1:6" ht="15" x14ac:dyDescent="0.25">
      <c r="A43" s="115">
        <v>39283</v>
      </c>
      <c r="B43" s="116">
        <f>Correlation!B43</f>
        <v>-4.2334363826560653E-2</v>
      </c>
      <c r="C43" s="116">
        <f>Correlation!C43</f>
        <v>-1.6366977464205359E-2</v>
      </c>
      <c r="D43" s="116">
        <f>Correlation!D43</f>
        <v>6.5538191985336581E-3</v>
      </c>
      <c r="E43" s="116">
        <f>Correlation!E43</f>
        <v>1.1201562472656601E-2</v>
      </c>
      <c r="F43" s="116">
        <f>Correlation!F43</f>
        <v>-2.6791303241575092E-2</v>
      </c>
    </row>
    <row r="44" spans="1:6" ht="15" x14ac:dyDescent="0.25">
      <c r="A44" s="115">
        <v>39290</v>
      </c>
      <c r="B44" s="116">
        <f>Correlation!B44</f>
        <v>-1.6349138001529526E-2</v>
      </c>
      <c r="C44" s="116">
        <f>Correlation!C44</f>
        <v>3.5660180398884328E-2</v>
      </c>
      <c r="D44" s="116">
        <f>Correlation!D44</f>
        <v>7.0518328572449973E-3</v>
      </c>
      <c r="E44" s="116">
        <f>Correlation!E44</f>
        <v>-9.7491293923416354E-3</v>
      </c>
      <c r="F44" s="116">
        <f>Correlation!F44</f>
        <v>-1.7193272519455915E-2</v>
      </c>
    </row>
    <row r="45" spans="1:6" ht="15" x14ac:dyDescent="0.25">
      <c r="A45" s="115">
        <v>39297</v>
      </c>
      <c r="B45" s="116">
        <f>Correlation!B45</f>
        <v>-2.7856954502966224E-2</v>
      </c>
      <c r="C45" s="116">
        <f>Correlation!C45</f>
        <v>-2.580788395587259E-2</v>
      </c>
      <c r="D45" s="116">
        <f>Correlation!D45</f>
        <v>2.0861949429139055E-2</v>
      </c>
      <c r="E45" s="116">
        <f>Correlation!E45</f>
        <v>2.2247060325076357E-2</v>
      </c>
      <c r="F45" s="116">
        <f>Correlation!F45</f>
        <v>1.990493431964608E-2</v>
      </c>
    </row>
    <row r="46" spans="1:6" ht="15" x14ac:dyDescent="0.25">
      <c r="A46" s="115">
        <v>39304</v>
      </c>
      <c r="B46" s="116">
        <f>Correlation!B46</f>
        <v>-5.8155920157074069E-2</v>
      </c>
      <c r="C46" s="116">
        <f>Correlation!C46</f>
        <v>0</v>
      </c>
      <c r="D46" s="116">
        <f>Correlation!D46</f>
        <v>2.8597231567860603E-2</v>
      </c>
      <c r="E46" s="116">
        <f>Correlation!E46</f>
        <v>7.7766386966260995E-3</v>
      </c>
      <c r="F46" s="116">
        <f>Correlation!F46</f>
        <v>3.6340778844069999E-2</v>
      </c>
    </row>
    <row r="47" spans="1:6" ht="15" x14ac:dyDescent="0.25">
      <c r="A47" s="115">
        <v>39311</v>
      </c>
      <c r="B47" s="116">
        <f>Correlation!B47</f>
        <v>-4.2819997182928067E-2</v>
      </c>
      <c r="C47" s="116">
        <f>Correlation!C47</f>
        <v>1.2987195526811112E-2</v>
      </c>
      <c r="D47" s="116">
        <f>Correlation!D47</f>
        <v>1.592357826585197E-2</v>
      </c>
      <c r="E47" s="116">
        <f>Correlation!E47</f>
        <v>-1.704586727298861E-2</v>
      </c>
      <c r="F47" s="116">
        <f>Correlation!F47</f>
        <v>1.8826452429300589E-2</v>
      </c>
    </row>
    <row r="48" spans="1:6" ht="15" x14ac:dyDescent="0.25">
      <c r="A48" s="115">
        <v>39318</v>
      </c>
      <c r="B48" s="116">
        <f>Correlation!B48</f>
        <v>-3.8221212820197741E-2</v>
      </c>
      <c r="C48" s="116">
        <f>Correlation!C48</f>
        <v>1.600034134644112E-2</v>
      </c>
      <c r="D48" s="116">
        <f>Correlation!D48</f>
        <v>1.7566323717899283E-2</v>
      </c>
      <c r="E48" s="116">
        <f>Correlation!E48</f>
        <v>8.5592533956699111E-3</v>
      </c>
      <c r="F48" s="116">
        <f>Correlation!F48</f>
        <v>3.3322416659328592E-2</v>
      </c>
    </row>
    <row r="49" spans="1:6" ht="15" x14ac:dyDescent="0.25">
      <c r="A49" s="115">
        <v>39325</v>
      </c>
      <c r="B49" s="116">
        <f>Correlation!B49</f>
        <v>-1.3072081567352775E-2</v>
      </c>
      <c r="C49" s="116">
        <f>Correlation!C49</f>
        <v>5.2562330090855508E-2</v>
      </c>
      <c r="D49" s="116">
        <f>Correlation!D49</f>
        <v>2.3599915340873506E-2</v>
      </c>
      <c r="E49" s="116">
        <f>Correlation!E49</f>
        <v>-1.1428695823622744E-2</v>
      </c>
      <c r="F49" s="116">
        <f>Correlation!F49</f>
        <v>1.2045040232601298E-2</v>
      </c>
    </row>
    <row r="50" spans="1:6" ht="15" x14ac:dyDescent="0.25">
      <c r="A50" s="115">
        <v>39332</v>
      </c>
      <c r="B50" s="116">
        <f>Correlation!B50</f>
        <v>-6.6006840313520242E-3</v>
      </c>
      <c r="C50" s="116">
        <f>Correlation!C50</f>
        <v>-6.2131781107006158E-2</v>
      </c>
      <c r="D50" s="116">
        <f>Correlation!D50</f>
        <v>4.2802539234760316E-2</v>
      </c>
      <c r="E50" s="116">
        <f>Correlation!E50</f>
        <v>-8.2958095241557513E-3</v>
      </c>
      <c r="F50" s="116">
        <f>Correlation!F50</f>
        <v>2.0387366898483089E-3</v>
      </c>
    </row>
    <row r="51" spans="1:6" ht="15" x14ac:dyDescent="0.25">
      <c r="A51" s="115">
        <v>39339</v>
      </c>
      <c r="B51" s="116">
        <f>Correlation!B51</f>
        <v>-1.3333530869465144E-2</v>
      </c>
      <c r="C51" s="116">
        <f>Correlation!C51</f>
        <v>-3.5892923060606728E-2</v>
      </c>
      <c r="D51" s="116">
        <f>Correlation!D51</f>
        <v>2.0733292789132853E-2</v>
      </c>
      <c r="E51" s="116">
        <f>Correlation!E51</f>
        <v>-5.4476256022380669E-3</v>
      </c>
      <c r="F51" s="116">
        <f>Correlation!F51</f>
        <v>-3.5364563516679381E-3</v>
      </c>
    </row>
    <row r="52" spans="1:6" ht="15" x14ac:dyDescent="0.25">
      <c r="A52" s="115">
        <v>39346</v>
      </c>
      <c r="B52" s="116">
        <f>Correlation!B52</f>
        <v>6.6889881507967101E-3</v>
      </c>
      <c r="C52" s="116">
        <f>Correlation!C52</f>
        <v>7.0542058473780839E-2</v>
      </c>
      <c r="D52" s="116">
        <f>Correlation!D52</f>
        <v>5.4139218102446172E-2</v>
      </c>
      <c r="E52" s="116">
        <f>Correlation!E52</f>
        <v>2.1614674334489836E-2</v>
      </c>
      <c r="F52" s="116">
        <f>Correlation!F52</f>
        <v>5.8867751320778268E-2</v>
      </c>
    </row>
    <row r="53" spans="1:6" ht="15" x14ac:dyDescent="0.25">
      <c r="A53" s="115">
        <v>39353</v>
      </c>
      <c r="B53" s="116">
        <f>Correlation!B53</f>
        <v>3.278982282299097E-2</v>
      </c>
      <c r="C53" s="116">
        <f>Correlation!C53</f>
        <v>2.1440331237869408E-2</v>
      </c>
      <c r="D53" s="116">
        <f>Correlation!D53</f>
        <v>3.605904981570264E-2</v>
      </c>
      <c r="E53" s="116">
        <f>Correlation!E53</f>
        <v>1.8711931659905607E-2</v>
      </c>
      <c r="F53" s="116">
        <f>Correlation!F53</f>
        <v>2.0724154074338294E-2</v>
      </c>
    </row>
    <row r="54" spans="1:6" ht="15" x14ac:dyDescent="0.25">
      <c r="A54" s="115">
        <v>39360</v>
      </c>
      <c r="B54" s="116">
        <f>Correlation!B54</f>
        <v>3.7979248065216471E-2</v>
      </c>
      <c r="C54" s="116">
        <f>Correlation!C54</f>
        <v>3.5718082602079246E-2</v>
      </c>
      <c r="D54" s="116">
        <f>Correlation!D54</f>
        <v>4.9583500188827838E-2</v>
      </c>
      <c r="E54" s="116">
        <f>Correlation!E54</f>
        <v>5.0470990666217241E-2</v>
      </c>
      <c r="F54" s="116">
        <f>Correlation!F54</f>
        <v>5.173990409269455E-2</v>
      </c>
    </row>
    <row r="55" spans="1:6" ht="15" x14ac:dyDescent="0.25">
      <c r="A55" s="115">
        <v>39367</v>
      </c>
      <c r="B55" s="116">
        <f>Correlation!B55</f>
        <v>3.6589447432291963E-2</v>
      </c>
      <c r="C55" s="116">
        <f>Correlation!C55</f>
        <v>4.0119993789425358E-2</v>
      </c>
      <c r="D55" s="116">
        <f>Correlation!D55</f>
        <v>4.3830944450597896E-2</v>
      </c>
      <c r="E55" s="116">
        <f>Correlation!E55</f>
        <v>3.078173611191979E-2</v>
      </c>
      <c r="F55" s="116">
        <f>Correlation!F55</f>
        <v>3.7408360140842659E-2</v>
      </c>
    </row>
    <row r="56" spans="1:6" ht="15" x14ac:dyDescent="0.25">
      <c r="A56" s="115">
        <v>39374</v>
      </c>
      <c r="B56" s="116">
        <f>Correlation!B56</f>
        <v>2.9500664396698056E-2</v>
      </c>
      <c r="C56" s="116">
        <f>Correlation!C56</f>
        <v>2.8050509276084604E-3</v>
      </c>
      <c r="D56" s="116">
        <f>Correlation!D56</f>
        <v>2.3256862164267183E-2</v>
      </c>
      <c r="E56" s="116">
        <f>Correlation!E56</f>
        <v>-7.769543778407096E-3</v>
      </c>
      <c r="F56" s="116">
        <f>Correlation!F56</f>
        <v>-1.9409058345760767E-2</v>
      </c>
    </row>
    <row r="57" spans="1:6" ht="15" x14ac:dyDescent="0.25">
      <c r="A57" s="115">
        <v>39381</v>
      </c>
      <c r="B57" s="116">
        <f>Correlation!B57</f>
        <v>3.4289073478632165E-2</v>
      </c>
      <c r="C57" s="116">
        <f>Correlation!C57</f>
        <v>1.390843004613215E-2</v>
      </c>
      <c r="D57" s="116">
        <f>Correlation!D57</f>
        <v>2.6707276041654331E-2</v>
      </c>
      <c r="E57" s="116">
        <f>Correlation!E57</f>
        <v>-1.6262810544790309E-3</v>
      </c>
      <c r="F57" s="116">
        <f>Correlation!F57</f>
        <v>3.1422245551046335E-2</v>
      </c>
    </row>
    <row r="58" spans="1:6" ht="15" x14ac:dyDescent="0.25">
      <c r="A58" s="115">
        <v>39388</v>
      </c>
      <c r="B58" s="116">
        <f>Correlation!B58</f>
        <v>2.770260254933575E-2</v>
      </c>
      <c r="C58" s="116">
        <f>Correlation!C58</f>
        <v>2.1858793812499017E-2</v>
      </c>
      <c r="D58" s="116">
        <f>Correlation!D58</f>
        <v>2.5238881254154E-3</v>
      </c>
      <c r="E58" s="116">
        <f>Correlation!E58</f>
        <v>-1.4096283240325521E-2</v>
      </c>
      <c r="F58" s="116">
        <f>Correlation!F58</f>
        <v>-8.1073809762904625E-3</v>
      </c>
    </row>
    <row r="59" spans="1:6" ht="15" x14ac:dyDescent="0.25">
      <c r="A59" s="115">
        <v>39395</v>
      </c>
      <c r="B59" s="116">
        <f>Correlation!B59</f>
        <v>2.1622464013165709E-2</v>
      </c>
      <c r="C59" s="116">
        <f>Correlation!C59</f>
        <v>2.4033199444156193E-2</v>
      </c>
      <c r="D59" s="116">
        <f>Correlation!D59</f>
        <v>1.5365676625359811E-2</v>
      </c>
      <c r="E59" s="116">
        <f>Correlation!E59</f>
        <v>-2.4057291174760149E-2</v>
      </c>
      <c r="F59" s="116">
        <f>Correlation!F59</f>
        <v>-6.23243572247816E-2</v>
      </c>
    </row>
    <row r="60" spans="1:6" ht="15" x14ac:dyDescent="0.25">
      <c r="A60" s="115">
        <v>39402</v>
      </c>
      <c r="B60" s="116">
        <f>Correlation!B60</f>
        <v>0</v>
      </c>
      <c r="C60" s="116">
        <f>Correlation!C60</f>
        <v>5.1425211807437185E-2</v>
      </c>
      <c r="D60" s="116">
        <f>Correlation!D60</f>
        <v>2.5902743259269882E-2</v>
      </c>
      <c r="E60" s="116">
        <f>Correlation!E60</f>
        <v>1.689474975266979E-3</v>
      </c>
      <c r="F60" s="116">
        <f>Correlation!F60</f>
        <v>5.9614508324194833E-3</v>
      </c>
    </row>
    <row r="61" spans="1:6" ht="15" x14ac:dyDescent="0.25">
      <c r="A61" s="115">
        <v>39409</v>
      </c>
      <c r="B61" s="116">
        <f>Correlation!B61</f>
        <v>5.2095111883401872E-2</v>
      </c>
      <c r="C61" s="116">
        <f>Correlation!C61</f>
        <v>2.7195742808489867E-2</v>
      </c>
      <c r="D61" s="116">
        <f>Correlation!D61</f>
        <v>4.062847199501151E-2</v>
      </c>
      <c r="E61" s="116">
        <f>Correlation!E61</f>
        <v>-6.4352465942713339E-3</v>
      </c>
      <c r="F61" s="116">
        <f>Correlation!F61</f>
        <v>1.1697450231262061E-2</v>
      </c>
    </row>
    <row r="62" spans="1:6" ht="15" x14ac:dyDescent="0.25">
      <c r="A62" s="115">
        <v>39416</v>
      </c>
      <c r="B62" s="116">
        <f>Correlation!B62</f>
        <v>6.3903801979480257E-2</v>
      </c>
      <c r="C62" s="116">
        <f>Correlation!C62</f>
        <v>3.3576295533604521E-2</v>
      </c>
      <c r="D62" s="116">
        <f>Correlation!D62</f>
        <v>4.6227398778375825E-2</v>
      </c>
      <c r="E62" s="116">
        <f>Correlation!E62</f>
        <v>2.8472866323866659E-2</v>
      </c>
      <c r="F62" s="116">
        <f>Correlation!F62</f>
        <v>2.4982060463269312E-2</v>
      </c>
    </row>
    <row r="63" spans="1:6" ht="15" x14ac:dyDescent="0.25">
      <c r="A63" s="115">
        <v>39423</v>
      </c>
      <c r="B63" s="116">
        <f>Correlation!B63</f>
        <v>2.3530497410194036E-2</v>
      </c>
      <c r="C63" s="116">
        <f>Correlation!C63</f>
        <v>2.1004272770531997E-2</v>
      </c>
      <c r="D63" s="116">
        <f>Correlation!D63</f>
        <v>3.7188715205714457E-2</v>
      </c>
      <c r="E63" s="116">
        <f>Correlation!E63</f>
        <v>1.9621296587327312E-2</v>
      </c>
      <c r="F63" s="116">
        <f>Correlation!F63</f>
        <v>3.323481870092318E-2</v>
      </c>
    </row>
    <row r="64" spans="1:6" ht="15" x14ac:dyDescent="0.25">
      <c r="A64" s="115">
        <v>39430</v>
      </c>
      <c r="B64" s="116">
        <f>Correlation!B64</f>
        <v>4.1008023727377253E-2</v>
      </c>
      <c r="C64" s="116">
        <f>Correlation!C64</f>
        <v>2.5086834429734882E-2</v>
      </c>
      <c r="D64" s="116">
        <f>Correlation!D64</f>
        <v>4.9368483600953715E-2</v>
      </c>
      <c r="E64" s="116">
        <f>Correlation!E64</f>
        <v>-1.5337223467302199E-2</v>
      </c>
      <c r="F64" s="116">
        <f>Correlation!F64</f>
        <v>1.3370234563171639E-2</v>
      </c>
    </row>
    <row r="65" spans="1:6" ht="15" x14ac:dyDescent="0.25">
      <c r="A65" s="115">
        <v>39437</v>
      </c>
      <c r="B65" s="116">
        <f>Correlation!B65</f>
        <v>-3.1748698314580416E-2</v>
      </c>
      <c r="C65" s="116">
        <f>Correlation!C65</f>
        <v>5.6908132271879373E-2</v>
      </c>
      <c r="D65" s="116">
        <f>Correlation!D65</f>
        <v>5.8674469805052559E-2</v>
      </c>
      <c r="E65" s="116">
        <f>Correlation!E65</f>
        <v>-1.657862904741652E-2</v>
      </c>
      <c r="F65" s="116">
        <f>Correlation!F65</f>
        <v>-4.8477712987386803E-2</v>
      </c>
    </row>
    <row r="66" spans="1:6" ht="15" x14ac:dyDescent="0.25">
      <c r="A66" s="115">
        <v>39444</v>
      </c>
      <c r="B66" s="116">
        <f>Correlation!B66</f>
        <v>0</v>
      </c>
      <c r="C66" s="116">
        <f>Correlation!C66</f>
        <v>-3.2435275753153962E-2</v>
      </c>
      <c r="D66" s="116">
        <f>Correlation!D66</f>
        <v>-2.3563113728140836E-2</v>
      </c>
      <c r="E66" s="116">
        <f>Correlation!E66</f>
        <v>-1.2786176886025454E-2</v>
      </c>
      <c r="F66" s="116">
        <f>Correlation!F66</f>
        <v>-3.2141797909911646E-2</v>
      </c>
    </row>
    <row r="67" spans="1:6" ht="15" x14ac:dyDescent="0.25">
      <c r="A67" s="115">
        <v>39451</v>
      </c>
      <c r="B67" s="116">
        <f>Correlation!B67</f>
        <v>0</v>
      </c>
      <c r="C67" s="116">
        <f>Correlation!C67</f>
        <v>3.4560675065467429E-2</v>
      </c>
      <c r="D67" s="116">
        <f>Correlation!D67</f>
        <v>-1.5548016388484789E-2</v>
      </c>
      <c r="E67" s="116">
        <f>Correlation!E67</f>
        <v>4.3926409539548619E-3</v>
      </c>
      <c r="F67" s="116">
        <f>Correlation!F67</f>
        <v>3.2141797909911569E-2</v>
      </c>
    </row>
    <row r="68" spans="1:6" ht="15" x14ac:dyDescent="0.25">
      <c r="A68" s="115">
        <v>39458</v>
      </c>
      <c r="B68" s="116">
        <f>Correlation!B68</f>
        <v>-1.8605187831034469E-2</v>
      </c>
      <c r="C68" s="116">
        <f>Correlation!C68</f>
        <v>1.8928009885518859E-2</v>
      </c>
      <c r="D68" s="116">
        <f>Correlation!D68</f>
        <v>-2.743854445502111E-2</v>
      </c>
      <c r="E68" s="116">
        <f>Correlation!E68</f>
        <v>-6.4265399601827235E-3</v>
      </c>
      <c r="F68" s="116">
        <f>Correlation!F68</f>
        <v>-2.5510074081159444E-2</v>
      </c>
    </row>
    <row r="69" spans="1:6" ht="15" x14ac:dyDescent="0.25">
      <c r="A69" s="115">
        <v>39465</v>
      </c>
      <c r="B69" s="116">
        <f>Correlation!B69</f>
        <v>-2.375408600810703E-2</v>
      </c>
      <c r="C69" s="116">
        <f>Correlation!C69</f>
        <v>2.0811662038244493E-3</v>
      </c>
      <c r="D69" s="116">
        <f>Correlation!D69</f>
        <v>-4.4917730294358943E-2</v>
      </c>
      <c r="E69" s="116">
        <f>Correlation!E69</f>
        <v>2.9423720755903857E-2</v>
      </c>
      <c r="F69" s="116">
        <f>Correlation!F69</f>
        <v>2.7148843030376003E-2</v>
      </c>
    </row>
    <row r="70" spans="1:6" ht="15" x14ac:dyDescent="0.25">
      <c r="A70" s="115">
        <v>39472</v>
      </c>
      <c r="B70" s="116">
        <f>Correlation!B70</f>
        <v>9.5694510161506725E-3</v>
      </c>
      <c r="C70" s="116">
        <f>Correlation!C70</f>
        <v>3.4732806918891905E-2</v>
      </c>
      <c r="D70" s="116">
        <f>Correlation!D70</f>
        <v>-3.5857309890852639E-2</v>
      </c>
      <c r="E70" s="116">
        <f>Correlation!E70</f>
        <v>2.6017727727954874E-2</v>
      </c>
      <c r="F70" s="116">
        <f>Correlation!F70</f>
        <v>4.6950544953413477E-2</v>
      </c>
    </row>
    <row r="71" spans="1:6" ht="15" x14ac:dyDescent="0.25">
      <c r="A71" s="115">
        <v>39479</v>
      </c>
      <c r="B71" s="116">
        <f>Correlation!B71</f>
        <v>4.6520015634892907E-2</v>
      </c>
      <c r="C71" s="116">
        <f>Correlation!C71</f>
        <v>1.7910926566530243E-2</v>
      </c>
      <c r="D71" s="116">
        <f>Correlation!D71</f>
        <v>8.8496152769826E-3</v>
      </c>
      <c r="E71" s="116">
        <f>Correlation!E71</f>
        <v>7.0377769691245791E-3</v>
      </c>
      <c r="F71" s="116">
        <f>Correlation!F71</f>
        <v>2.3491568272897719E-2</v>
      </c>
    </row>
    <row r="72" spans="1:6" ht="15" x14ac:dyDescent="0.25">
      <c r="A72" s="115">
        <v>39486</v>
      </c>
      <c r="B72" s="116">
        <f>Correlation!B72</f>
        <v>3.1322471129041067E-2</v>
      </c>
      <c r="C72" s="116">
        <f>Correlation!C72</f>
        <v>4.2477428267116216E-2</v>
      </c>
      <c r="D72" s="116">
        <f>Correlation!D72</f>
        <v>6.8987416911565217E-3</v>
      </c>
      <c r="E72" s="116">
        <f>Correlation!E72</f>
        <v>1.9883880597139834E-2</v>
      </c>
      <c r="F72" s="116">
        <f>Correlation!F72</f>
        <v>3.6496104573132772E-2</v>
      </c>
    </row>
    <row r="73" spans="1:6" ht="15" x14ac:dyDescent="0.25">
      <c r="A73" s="115">
        <v>39493</v>
      </c>
      <c r="B73" s="116">
        <f>Correlation!B73</f>
        <v>1.746769304039078E-2</v>
      </c>
      <c r="C73" s="116">
        <f>Correlation!C73</f>
        <v>3.7735893836392666E-3</v>
      </c>
      <c r="D73" s="116">
        <f>Correlation!D73</f>
        <v>6.2305497506361628E-3</v>
      </c>
      <c r="E73" s="116">
        <f>Correlation!E73</f>
        <v>1.7655716488415584E-2</v>
      </c>
      <c r="F73" s="116">
        <f>Correlation!F73</f>
        <v>4.7312707629622495E-2</v>
      </c>
    </row>
    <row r="74" spans="1:6" ht="15" x14ac:dyDescent="0.25">
      <c r="A74" s="115">
        <v>39500</v>
      </c>
      <c r="B74" s="116">
        <f>Correlation!B74</f>
        <v>1.7167803622365498E-2</v>
      </c>
      <c r="C74" s="116">
        <f>Correlation!C74</f>
        <v>-5.4171851142199502E-2</v>
      </c>
      <c r="D74" s="116">
        <f>Correlation!D74</f>
        <v>6.1919702479209804E-3</v>
      </c>
      <c r="E74" s="116">
        <f>Correlation!E74</f>
        <v>-1.0183701649714509E-2</v>
      </c>
      <c r="F74" s="116">
        <f>Correlation!F74</f>
        <v>-9.0257239241619441E-4</v>
      </c>
    </row>
    <row r="75" spans="1:6" ht="15" x14ac:dyDescent="0.25">
      <c r="A75" s="115">
        <v>39507</v>
      </c>
      <c r="B75" s="116">
        <f>Correlation!B75</f>
        <v>-8.5470605784584083E-3</v>
      </c>
      <c r="C75" s="116">
        <f>Correlation!C75</f>
        <v>3.9682591756204488E-3</v>
      </c>
      <c r="D75" s="116">
        <f>Correlation!D75</f>
        <v>-1.5444018513741361E-3</v>
      </c>
      <c r="E75" s="116">
        <f>Correlation!E75</f>
        <v>1.0797575211042444E-2</v>
      </c>
      <c r="F75" s="116">
        <f>Correlation!F75</f>
        <v>-3.076852332502486E-2</v>
      </c>
    </row>
    <row r="76" spans="1:6" ht="15" x14ac:dyDescent="0.25">
      <c r="A76" s="115">
        <v>39514</v>
      </c>
      <c r="B76" s="116">
        <f>Correlation!B76</f>
        <v>1.7021687569430743E-2</v>
      </c>
      <c r="C76" s="116">
        <f>Correlation!C76</f>
        <v>8.3540012234170874E-2</v>
      </c>
      <c r="D76" s="116">
        <f>Correlation!D76</f>
        <v>3.0143856375738239E-2</v>
      </c>
      <c r="E76" s="116">
        <f>Correlation!E76</f>
        <v>1.2198992391019995E-2</v>
      </c>
      <c r="F76" s="116">
        <f>Correlation!F76</f>
        <v>-1.134188319673118E-2</v>
      </c>
    </row>
    <row r="77" spans="1:6" ht="15" x14ac:dyDescent="0.25">
      <c r="A77" s="115">
        <v>39521</v>
      </c>
      <c r="B77" s="116">
        <f>Correlation!B77</f>
        <v>2.9108084158070549E-2</v>
      </c>
      <c r="C77" s="116">
        <f>Correlation!C77</f>
        <v>2.1622464013165709E-2</v>
      </c>
      <c r="D77" s="116">
        <f>Correlation!D77</f>
        <v>1.0146312051478154E-2</v>
      </c>
      <c r="E77" s="116">
        <f>Correlation!E77</f>
        <v>1.5340953590530655E-2</v>
      </c>
      <c r="F77" s="116">
        <f>Correlation!F77</f>
        <v>5.7542043328323036E-2</v>
      </c>
    </row>
    <row r="78" spans="1:6" ht="15" x14ac:dyDescent="0.25">
      <c r="A78" s="115">
        <v>39528</v>
      </c>
      <c r="B78" s="116">
        <f>Correlation!B78</f>
        <v>8.1633106391608354E-3</v>
      </c>
      <c r="C78" s="116">
        <f>Correlation!C78</f>
        <v>1.780944370994692E-3</v>
      </c>
      <c r="D78" s="116">
        <f>Correlation!D78</f>
        <v>4.7393453638963469E-3</v>
      </c>
      <c r="E78" s="116">
        <f>Correlation!E78</f>
        <v>3.4329320865911374E-2</v>
      </c>
      <c r="F78" s="116">
        <f>Correlation!F78</f>
        <v>3.923211247730158E-2</v>
      </c>
    </row>
    <row r="79" spans="1:6" ht="15" x14ac:dyDescent="0.25">
      <c r="A79" s="115">
        <v>39535</v>
      </c>
      <c r="B79" s="116">
        <f>Correlation!B79</f>
        <v>1.6129381929883717E-2</v>
      </c>
      <c r="C79" s="116">
        <f>Correlation!C79</f>
        <v>-7.1428875123801137E-3</v>
      </c>
      <c r="D79" s="116">
        <f>Correlation!D79</f>
        <v>1.6413029641330269E-2</v>
      </c>
      <c r="E79" s="116">
        <f>Correlation!E79</f>
        <v>2.8154852738062223E-2</v>
      </c>
      <c r="F79" s="116">
        <f>Correlation!F79</f>
        <v>3.7110355712466063E-2</v>
      </c>
    </row>
    <row r="80" spans="1:6" ht="15" x14ac:dyDescent="0.25">
      <c r="A80" s="115">
        <v>39542</v>
      </c>
      <c r="B80" s="116">
        <f>Correlation!B80</f>
        <v>3.9920212695374567E-3</v>
      </c>
      <c r="C80" s="116">
        <f>Correlation!C80</f>
        <v>1.069528911674795E-2</v>
      </c>
      <c r="D80" s="116">
        <f>Correlation!D80</f>
        <v>5.8122640404064882E-4</v>
      </c>
      <c r="E80" s="116">
        <f>Correlation!E80</f>
        <v>1.4011491713627833E-3</v>
      </c>
      <c r="F80" s="116">
        <f>Correlation!F80</f>
        <v>-2.4744548207472471E-3</v>
      </c>
    </row>
    <row r="81" spans="1:6" ht="15" x14ac:dyDescent="0.25">
      <c r="A81" s="115">
        <v>39549</v>
      </c>
      <c r="B81" s="116">
        <f>Correlation!B81</f>
        <v>-8.0000426670761519E-3</v>
      </c>
      <c r="C81" s="116">
        <f>Correlation!C81</f>
        <v>1.0582109330537008E-2</v>
      </c>
      <c r="D81" s="116">
        <f>Correlation!D81</f>
        <v>-5.812264040406975E-4</v>
      </c>
      <c r="E81" s="116">
        <f>Correlation!E81</f>
        <v>3.3864213164736805E-2</v>
      </c>
      <c r="F81" s="116">
        <f>Correlation!F81</f>
        <v>3.5869394589979467E-2</v>
      </c>
    </row>
    <row r="82" spans="1:6" ht="15" x14ac:dyDescent="0.25">
      <c r="A82" s="115">
        <v>39556</v>
      </c>
      <c r="B82" s="116">
        <f>Correlation!B82</f>
        <v>0</v>
      </c>
      <c r="C82" s="116">
        <f>Correlation!C82</f>
        <v>-5.2770571008437812E-3</v>
      </c>
      <c r="D82" s="116">
        <f>Correlation!D82</f>
        <v>9.835196433606138E-3</v>
      </c>
      <c r="E82" s="116">
        <f>Correlation!E82</f>
        <v>1.8240849101790364E-2</v>
      </c>
      <c r="F82" s="116">
        <f>Correlation!F82</f>
        <v>2.9311240040277207E-2</v>
      </c>
    </row>
    <row r="83" spans="1:6" ht="15" x14ac:dyDescent="0.25">
      <c r="A83" s="115">
        <v>39563</v>
      </c>
      <c r="B83" s="116">
        <f>Correlation!B83</f>
        <v>0</v>
      </c>
      <c r="C83" s="116">
        <f>Correlation!C83</f>
        <v>-2.6811257450656815E-2</v>
      </c>
      <c r="D83" s="116">
        <f>Correlation!D83</f>
        <v>6.8847087774972331E-3</v>
      </c>
      <c r="E83" s="116">
        <f>Correlation!E83</f>
        <v>3.9353612349436795E-2</v>
      </c>
      <c r="F83" s="116">
        <f>Correlation!F83</f>
        <v>3.2479174230615304E-2</v>
      </c>
    </row>
    <row r="84" spans="1:6" ht="15" x14ac:dyDescent="0.25">
      <c r="A84" s="115">
        <v>39570</v>
      </c>
      <c r="B84" s="116">
        <f>Correlation!B84</f>
        <v>-4.0241502997254907E-3</v>
      </c>
      <c r="C84" s="116">
        <f>Correlation!C84</f>
        <v>-1.8132371241808313E-3</v>
      </c>
      <c r="D84" s="116">
        <f>Correlation!D84</f>
        <v>-2.9775560248874442E-3</v>
      </c>
      <c r="E84" s="116">
        <f>Correlation!E84</f>
        <v>4.8438590566448484E-3</v>
      </c>
      <c r="F84" s="116">
        <f>Correlation!F84</f>
        <v>1.4540903922511655E-2</v>
      </c>
    </row>
    <row r="85" spans="1:6" ht="15" x14ac:dyDescent="0.25">
      <c r="A85" s="115">
        <v>39577</v>
      </c>
      <c r="B85" s="116">
        <f>Correlation!B85</f>
        <v>-2.0367302824433699E-2</v>
      </c>
      <c r="C85" s="116">
        <f>Correlation!C85</f>
        <v>4.6107457355185094E-2</v>
      </c>
      <c r="D85" s="116">
        <f>Correlation!D85</f>
        <v>-8.5234333104241018E-3</v>
      </c>
      <c r="E85" s="116">
        <f>Correlation!E85</f>
        <v>1.1882329159871589E-2</v>
      </c>
      <c r="F85" s="116">
        <f>Correlation!F85</f>
        <v>-3.420705584479488E-2</v>
      </c>
    </row>
    <row r="86" spans="1:6" ht="15" x14ac:dyDescent="0.25">
      <c r="A86" s="115">
        <v>39584</v>
      </c>
      <c r="B86" s="116">
        <f>Correlation!B86</f>
        <v>-2.922963831493848E-2</v>
      </c>
      <c r="C86" s="116">
        <f>Correlation!C86</f>
        <v>9.7356296832022807E-2</v>
      </c>
      <c r="D86" s="116">
        <f>Correlation!D86</f>
        <v>8.6717739210847395E-4</v>
      </c>
      <c r="E86" s="116">
        <f>Correlation!E86</f>
        <v>7.0123002092157324E-3</v>
      </c>
      <c r="F86" s="116">
        <f>Correlation!F86</f>
        <v>6.1393196148951792E-2</v>
      </c>
    </row>
    <row r="87" spans="1:6" ht="15" x14ac:dyDescent="0.25">
      <c r="A87" s="115">
        <v>39591</v>
      </c>
      <c r="B87" s="116">
        <f>Correlation!B87</f>
        <v>7.743174013281609E-2</v>
      </c>
      <c r="C87" s="116">
        <f>Correlation!C87</f>
        <v>6.9831094503340047E-2</v>
      </c>
      <c r="D87" s="116">
        <f>Correlation!D87</f>
        <v>8.2861392748595927E-2</v>
      </c>
      <c r="E87" s="116">
        <f>Correlation!E87</f>
        <v>-1.2485954924657972E-3</v>
      </c>
      <c r="F87" s="116">
        <f>Correlation!F87</f>
        <v>5.1749647752620488E-3</v>
      </c>
    </row>
    <row r="88" spans="1:6" ht="15" x14ac:dyDescent="0.25">
      <c r="A88" s="115">
        <v>39598</v>
      </c>
      <c r="B88" s="116">
        <f>Correlation!B88</f>
        <v>7.5507552508145295E-2</v>
      </c>
      <c r="C88" s="116">
        <f>Correlation!C88</f>
        <v>-1.1799546931155055E-2</v>
      </c>
      <c r="D88" s="116">
        <f>Correlation!D88</f>
        <v>2.365419089788981E-2</v>
      </c>
      <c r="E88" s="116">
        <f>Correlation!E88</f>
        <v>6.2274457077754908E-3</v>
      </c>
      <c r="F88" s="116">
        <f>Correlation!F88</f>
        <v>1.646030469610239E-2</v>
      </c>
    </row>
    <row r="89" spans="1:6" ht="15" x14ac:dyDescent="0.25">
      <c r="A89" s="115">
        <v>39605</v>
      </c>
      <c r="B89" s="116">
        <f>Correlation!B89</f>
        <v>1.8018505502678212E-2</v>
      </c>
      <c r="C89" s="116">
        <f>Correlation!C89</f>
        <v>1.4727806710243386E-2</v>
      </c>
      <c r="D89" s="116">
        <f>Correlation!D89</f>
        <v>1.9293202934678851E-2</v>
      </c>
      <c r="E89" s="116">
        <f>Correlation!E89</f>
        <v>5.9420823512364345E-3</v>
      </c>
      <c r="F89" s="116">
        <f>Correlation!F89</f>
        <v>4.2663759388687959E-2</v>
      </c>
    </row>
    <row r="90" spans="1:6" ht="15" x14ac:dyDescent="0.25">
      <c r="A90" s="115">
        <v>39612</v>
      </c>
      <c r="B90" s="116">
        <f>Correlation!B90</f>
        <v>0</v>
      </c>
      <c r="C90" s="116">
        <f>Correlation!C90</f>
        <v>-5.2525200918460364E-2</v>
      </c>
      <c r="D90" s="116">
        <f>Correlation!D90</f>
        <v>-7.6726719116601665E-3</v>
      </c>
      <c r="E90" s="116">
        <f>Correlation!E90</f>
        <v>7.4028380925478731E-4</v>
      </c>
      <c r="F90" s="116">
        <f>Correlation!F90</f>
        <v>-2.0980076630064144E-3</v>
      </c>
    </row>
    <row r="91" spans="1:6" ht="15" x14ac:dyDescent="0.25">
      <c r="A91" s="115">
        <v>39619</v>
      </c>
      <c r="B91" s="116">
        <f>Correlation!B91</f>
        <v>-4.0078223567410469E-2</v>
      </c>
      <c r="C91" s="116">
        <f>Correlation!C91</f>
        <v>-8.5192049638740275E-2</v>
      </c>
      <c r="D91" s="116">
        <f>Correlation!D91</f>
        <v>-2.3903450376588978E-2</v>
      </c>
      <c r="E91" s="116">
        <f>Correlation!E91</f>
        <v>-1.2160467509485852E-2</v>
      </c>
      <c r="F91" s="116">
        <f>Correlation!F91</f>
        <v>8.3657494173661161E-3</v>
      </c>
    </row>
    <row r="92" spans="1:6" ht="15" x14ac:dyDescent="0.25">
      <c r="A92" s="115">
        <v>39626</v>
      </c>
      <c r="B92" s="116">
        <f>Correlation!B92</f>
        <v>-5.7377112583302477E-2</v>
      </c>
      <c r="C92" s="116">
        <f>Correlation!C92</f>
        <v>-0.12684240447372605</v>
      </c>
      <c r="D92" s="116">
        <f>Correlation!D92</f>
        <v>-7.5626144970444106E-2</v>
      </c>
      <c r="E92" s="116">
        <f>Correlation!E92</f>
        <v>-2.7593194740033921E-2</v>
      </c>
      <c r="F92" s="116">
        <f>Correlation!F92</f>
        <v>-9.2272548750002042E-2</v>
      </c>
    </row>
    <row r="93" spans="1:6" ht="15" x14ac:dyDescent="0.25">
      <c r="A93" s="115">
        <v>39633</v>
      </c>
      <c r="B93" s="116">
        <f>Correlation!B93</f>
        <v>-5.6695343676545294E-2</v>
      </c>
      <c r="C93" s="116">
        <f>Correlation!C93</f>
        <v>2.0735898479178342E-2</v>
      </c>
      <c r="D93" s="116">
        <f>Correlation!D93</f>
        <v>-2.1789852932410168E-2</v>
      </c>
      <c r="E93" s="116">
        <f>Correlation!E93</f>
        <v>-1.7607912189580847E-2</v>
      </c>
      <c r="F93" s="116">
        <f>Correlation!F93</f>
        <v>-2.9301881174031177E-2</v>
      </c>
    </row>
    <row r="94" spans="1:6" ht="15" x14ac:dyDescent="0.25">
      <c r="A94" s="115">
        <v>39640</v>
      </c>
      <c r="B94" s="116">
        <f>Correlation!B94</f>
        <v>-2.1053409197832267E-2</v>
      </c>
      <c r="C94" s="116">
        <f>Correlation!C94</f>
        <v>-0.10411750741822941</v>
      </c>
      <c r="D94" s="116">
        <f>Correlation!D94</f>
        <v>-6.2492306883857991E-2</v>
      </c>
      <c r="E94" s="116">
        <f>Correlation!E94</f>
        <v>-1.6860251867574678E-2</v>
      </c>
      <c r="F94" s="116">
        <f>Correlation!F94</f>
        <v>-2.923462127854165E-2</v>
      </c>
    </row>
    <row r="95" spans="1:6" ht="15" x14ac:dyDescent="0.25">
      <c r="A95" s="115">
        <v>39647</v>
      </c>
      <c r="B95" s="116">
        <f>Correlation!B95</f>
        <v>-6.142281262640624E-2</v>
      </c>
      <c r="C95" s="116">
        <f>Correlation!C95</f>
        <v>-1.2500162764231607E-2</v>
      </c>
      <c r="D95" s="116">
        <f>Correlation!D95</f>
        <v>-6.7319304638132585E-2</v>
      </c>
      <c r="E95" s="116">
        <f>Correlation!E95</f>
        <v>-1.5529093859965154E-2</v>
      </c>
      <c r="F95" s="116">
        <f>Correlation!F95</f>
        <v>-6.7159724349650091E-2</v>
      </c>
    </row>
    <row r="96" spans="1:6" ht="15" x14ac:dyDescent="0.25">
      <c r="A96" s="115">
        <v>39654</v>
      </c>
      <c r="B96" s="116">
        <f>Correlation!B96</f>
        <v>-5.1055170800284065E-2</v>
      </c>
      <c r="C96" s="116">
        <f>Correlation!C96</f>
        <v>8.8233550865025753E-2</v>
      </c>
      <c r="D96" s="116">
        <f>Correlation!D96</f>
        <v>-3.6369687965761019E-3</v>
      </c>
      <c r="E96" s="116">
        <f>Correlation!E96</f>
        <v>-1.2489980449893062E-2</v>
      </c>
      <c r="F96" s="116">
        <f>Correlation!F96</f>
        <v>3.6992509438780492E-4</v>
      </c>
    </row>
    <row r="97" spans="1:6" ht="15" x14ac:dyDescent="0.25">
      <c r="A97" s="115">
        <v>39661</v>
      </c>
      <c r="B97" s="116">
        <f>Correlation!B97</f>
        <v>5.1055170800284169E-2</v>
      </c>
      <c r="C97" s="116">
        <f>Correlation!C97</f>
        <v>3.0248052755497735E-2</v>
      </c>
      <c r="D97" s="116">
        <f>Correlation!D97</f>
        <v>-1.6575505203980791E-3</v>
      </c>
      <c r="E97" s="116">
        <f>Correlation!E97</f>
        <v>1.9107416759139807E-3</v>
      </c>
      <c r="F97" s="116">
        <f>Correlation!F97</f>
        <v>1.7324783657305921E-2</v>
      </c>
    </row>
    <row r="98" spans="1:6" ht="15" x14ac:dyDescent="0.25">
      <c r="A98" s="115">
        <v>39668</v>
      </c>
      <c r="B98" s="116">
        <f>Correlation!B98</f>
        <v>1.3483350337287207E-2</v>
      </c>
      <c r="C98" s="116">
        <f>Correlation!C98</f>
        <v>-3.216928293339167E-2</v>
      </c>
      <c r="D98" s="116">
        <f>Correlation!D98</f>
        <v>-4.0697582883459468E-2</v>
      </c>
      <c r="E98" s="116">
        <f>Correlation!E98</f>
        <v>-8.2147230843368831E-3</v>
      </c>
      <c r="F98" s="116">
        <f>Correlation!F98</f>
        <v>-4.4410456130740884E-2</v>
      </c>
    </row>
    <row r="99" spans="1:6" ht="15" x14ac:dyDescent="0.25">
      <c r="A99" s="115">
        <v>39675</v>
      </c>
      <c r="B99" s="116">
        <f>Correlation!B99</f>
        <v>-3.1748698314580416E-2</v>
      </c>
      <c r="C99" s="116">
        <f>Correlation!C99</f>
        <v>-4.3228734550820075E-2</v>
      </c>
      <c r="D99" s="116">
        <f>Correlation!D99</f>
        <v>-2.9386033975189681E-2</v>
      </c>
      <c r="E99" s="116">
        <f>Correlation!E99</f>
        <v>6.131984662030799E-2</v>
      </c>
      <c r="F99" s="116">
        <f>Correlation!F99</f>
        <v>-8.7305065284807221E-2</v>
      </c>
    </row>
    <row r="100" spans="1:6" ht="15" x14ac:dyDescent="0.25">
      <c r="A100" s="115">
        <v>39682</v>
      </c>
      <c r="B100" s="116">
        <f>Correlation!B100</f>
        <v>-2.3311078868446997E-2</v>
      </c>
      <c r="C100" s="116">
        <f>Correlation!C100</f>
        <v>2.3810648693718392E-2</v>
      </c>
      <c r="D100" s="116">
        <f>Correlation!D100</f>
        <v>-1.6143848371356278E-2</v>
      </c>
      <c r="E100" s="116">
        <f>Correlation!E100</f>
        <v>-3.5534729640062587E-2</v>
      </c>
      <c r="F100" s="116">
        <f>Correlation!F100</f>
        <v>-8.3530363793579268E-2</v>
      </c>
    </row>
    <row r="101" spans="1:6" ht="15" x14ac:dyDescent="0.25">
      <c r="A101" s="115">
        <v>39689</v>
      </c>
      <c r="B101" s="116">
        <f>Correlation!B101</f>
        <v>-9.47874395454377E-3</v>
      </c>
      <c r="C101" s="116">
        <f>Correlation!C101</f>
        <v>2.5170738346551574E-2</v>
      </c>
      <c r="D101" s="116">
        <f>Correlation!D101</f>
        <v>2.1467729624106195E-2</v>
      </c>
      <c r="E101" s="116">
        <f>Correlation!E101</f>
        <v>-2.3862303587385565E-2</v>
      </c>
      <c r="F101" s="116">
        <f>Correlation!F101</f>
        <v>9.8348498689218231E-2</v>
      </c>
    </row>
    <row r="102" spans="1:6" ht="15" x14ac:dyDescent="0.25">
      <c r="A102" s="115">
        <v>39696</v>
      </c>
      <c r="B102" s="116">
        <f>Correlation!B102</f>
        <v>1.8868484304382736E-2</v>
      </c>
      <c r="C102" s="116">
        <f>Correlation!C102</f>
        <v>-0.11325220639602564</v>
      </c>
      <c r="D102" s="116">
        <f>Correlation!D102</f>
        <v>-8.8889474172460393E-3</v>
      </c>
      <c r="E102" s="116">
        <f>Correlation!E102</f>
        <v>-4.4613935185224794E-2</v>
      </c>
      <c r="F102" s="116">
        <f>Correlation!F102</f>
        <v>-6.5424170274045568E-2</v>
      </c>
    </row>
    <row r="103" spans="1:6" ht="15" x14ac:dyDescent="0.25">
      <c r="A103" s="115">
        <v>39703</v>
      </c>
      <c r="B103" s="116">
        <f>Correlation!B103</f>
        <v>-4.78560211776351E-2</v>
      </c>
      <c r="C103" s="116">
        <f>Correlation!C103</f>
        <v>-0.12288166470786453</v>
      </c>
      <c r="D103" s="116">
        <f>Correlation!D103</f>
        <v>-4.5670036833188321E-2</v>
      </c>
      <c r="E103" s="116">
        <f>Correlation!E103</f>
        <v>-0.11416691313587046</v>
      </c>
      <c r="F103" s="116">
        <f>Correlation!F103</f>
        <v>-0.12518495344267089</v>
      </c>
    </row>
    <row r="104" spans="1:6" ht="15" x14ac:dyDescent="0.25">
      <c r="A104" s="115">
        <v>39710</v>
      </c>
      <c r="B104" s="116">
        <f>Correlation!B104</f>
        <v>-0.10318423623523075</v>
      </c>
      <c r="C104" s="116">
        <f>Correlation!C104</f>
        <v>-8.3276340240601363E-2</v>
      </c>
      <c r="D104" s="116">
        <f>Correlation!D104</f>
        <v>-4.394212185649872E-2</v>
      </c>
      <c r="E104" s="116">
        <f>Correlation!E104</f>
        <v>-8.5229287968643277E-2</v>
      </c>
      <c r="F104" s="116">
        <f>Correlation!F104</f>
        <v>-0.15518116156556852</v>
      </c>
    </row>
    <row r="105" spans="1:6" ht="15" x14ac:dyDescent="0.25">
      <c r="A105" s="115">
        <v>39717</v>
      </c>
      <c r="B105" s="116">
        <f>Correlation!B105</f>
        <v>-9.0971778205726758E-2</v>
      </c>
      <c r="C105" s="116">
        <f>Correlation!C105</f>
        <v>5.249355886143745E-3</v>
      </c>
      <c r="D105" s="116">
        <f>Correlation!D105</f>
        <v>-9.4192219164916397E-3</v>
      </c>
      <c r="E105" s="116">
        <f>Correlation!E105</f>
        <v>-9.7800142338572954E-2</v>
      </c>
      <c r="F105" s="116">
        <f>Correlation!F105</f>
        <v>-9.8041967787890288E-2</v>
      </c>
    </row>
    <row r="106" spans="1:6" ht="15" x14ac:dyDescent="0.25">
      <c r="A106" s="115">
        <v>39724</v>
      </c>
      <c r="B106" s="116">
        <f>Correlation!B106</f>
        <v>-5.970166986503796E-3</v>
      </c>
      <c r="C106" s="116">
        <f>Correlation!C106</f>
        <v>-1.8494582636164301E-2</v>
      </c>
      <c r="D106" s="116">
        <f>Correlation!D106</f>
        <v>-2.1120530048949916E-2</v>
      </c>
      <c r="E106" s="116">
        <f>Correlation!E106</f>
        <v>-0.10112077139979056</v>
      </c>
      <c r="F106" s="116">
        <f>Correlation!F106</f>
        <v>-8.7807745591087311E-2</v>
      </c>
    </row>
    <row r="107" spans="1:6" ht="15" x14ac:dyDescent="0.25">
      <c r="A107" s="115">
        <v>39731</v>
      </c>
      <c r="B107" s="116">
        <f>Correlation!B107</f>
        <v>0</v>
      </c>
      <c r="C107" s="116">
        <f>Correlation!C107</f>
        <v>2.6631174194836284E-3</v>
      </c>
      <c r="D107" s="116">
        <f>Correlation!D107</f>
        <v>-9.712743291974071E-3</v>
      </c>
      <c r="E107" s="116">
        <f>Correlation!E107</f>
        <v>-7.5423761817241836E-2</v>
      </c>
      <c r="F107" s="116">
        <f>Correlation!F107</f>
        <v>-2.2322747813491375E-2</v>
      </c>
    </row>
    <row r="108" spans="1:6" ht="15" x14ac:dyDescent="0.25">
      <c r="A108" s="115">
        <v>39738</v>
      </c>
      <c r="B108" s="116">
        <f>Correlation!B108</f>
        <v>5.9701669865037544E-3</v>
      </c>
      <c r="C108" s="116">
        <f>Correlation!C108</f>
        <v>-5.4658412537863965E-2</v>
      </c>
      <c r="D108" s="116">
        <f>Correlation!D108</f>
        <v>-1.6814011041454583E-2</v>
      </c>
      <c r="E108" s="116">
        <f>Correlation!E108</f>
        <v>-6.8170300082505048E-2</v>
      </c>
      <c r="F108" s="116">
        <f>Correlation!F108</f>
        <v>-0.11337134529975745</v>
      </c>
    </row>
    <row r="109" spans="1:6" ht="15" x14ac:dyDescent="0.25">
      <c r="A109" s="115">
        <v>39745</v>
      </c>
      <c r="B109" s="116">
        <f>Correlation!B109</f>
        <v>-3.0213778596496595E-2</v>
      </c>
      <c r="C109" s="116">
        <f>Correlation!C109</f>
        <v>5.6022555486697516E-3</v>
      </c>
      <c r="D109" s="116">
        <f>Correlation!D109</f>
        <v>-1.1647386249181629E-2</v>
      </c>
      <c r="E109" s="116">
        <f>Correlation!E109</f>
        <v>-8.7594585099294284E-2</v>
      </c>
      <c r="F109" s="116">
        <f>Correlation!F109</f>
        <v>-0.11955147080348887</v>
      </c>
    </row>
    <row r="110" spans="1:6" ht="15" x14ac:dyDescent="0.25">
      <c r="A110" s="115">
        <v>39752</v>
      </c>
      <c r="B110" s="116">
        <f>Correlation!B110</f>
        <v>-6.1538655743781116E-3</v>
      </c>
      <c r="C110" s="116">
        <f>Correlation!C110</f>
        <v>-7.8414611023637407E-2</v>
      </c>
      <c r="D110" s="116">
        <f>Correlation!D110</f>
        <v>-1.9007964045176632E-2</v>
      </c>
      <c r="E110" s="116">
        <f>Correlation!E110</f>
        <v>-3.6746662517905058E-2</v>
      </c>
      <c r="F110" s="116">
        <f>Correlation!F110</f>
        <v>-2.1774505103789445E-2</v>
      </c>
    </row>
    <row r="111" spans="1:6" ht="15" x14ac:dyDescent="0.25">
      <c r="A111" s="115">
        <v>39759</v>
      </c>
      <c r="B111" s="116">
        <f>Correlation!B111</f>
        <v>6.3789737875330002E-2</v>
      </c>
      <c r="C111" s="116">
        <f>Correlation!C111</f>
        <v>6.7631400888630275E-2</v>
      </c>
      <c r="D111" s="116">
        <f>Correlation!D111</f>
        <v>7.3294693487032783E-2</v>
      </c>
      <c r="E111" s="116">
        <f>Correlation!E111</f>
        <v>4.0295540178009237E-2</v>
      </c>
      <c r="F111" s="116">
        <f>Correlation!F111</f>
        <v>4.8560371556253465E-2</v>
      </c>
    </row>
    <row r="112" spans="1:6" ht="15" x14ac:dyDescent="0.25">
      <c r="A112" s="115">
        <v>39766</v>
      </c>
      <c r="B112" s="116">
        <f>Correlation!B112</f>
        <v>-5.2299499402848906E-2</v>
      </c>
      <c r="C112" s="116">
        <f>Correlation!C112</f>
        <v>-4.8318577270807801E-2</v>
      </c>
      <c r="D112" s="116">
        <f>Correlation!D112</f>
        <v>-3.9565600206191251E-2</v>
      </c>
      <c r="E112" s="116">
        <f>Correlation!E112</f>
        <v>-1.9826422939198632E-2</v>
      </c>
      <c r="F112" s="116">
        <f>Correlation!F112</f>
        <v>-0.11577628500574766</v>
      </c>
    </row>
    <row r="113" spans="1:6" ht="15" x14ac:dyDescent="0.25">
      <c r="A113" s="115">
        <v>39773</v>
      </c>
      <c r="B113" s="116">
        <f>Correlation!B113</f>
        <v>-4.1101675685551918E-2</v>
      </c>
      <c r="C113" s="116">
        <f>Correlation!C113</f>
        <v>0.15838498396604672</v>
      </c>
      <c r="D113" s="116">
        <f>Correlation!D113</f>
        <v>2.1735164791519941E-2</v>
      </c>
      <c r="E113" s="116">
        <f>Correlation!E113</f>
        <v>-7.9196271380632104E-3</v>
      </c>
      <c r="F113" s="116">
        <f>Correlation!F113</f>
        <v>3.2807459662822371E-2</v>
      </c>
    </row>
    <row r="114" spans="1:6" ht="15" x14ac:dyDescent="0.25">
      <c r="A114" s="115">
        <v>39780</v>
      </c>
      <c r="B114" s="116">
        <f>Correlation!B114</f>
        <v>3.4367643504207818E-2</v>
      </c>
      <c r="C114" s="116">
        <f>Correlation!C114</f>
        <v>8.4151969252844981E-3</v>
      </c>
      <c r="D114" s="116">
        <f>Correlation!D114</f>
        <v>5.0314316002731875E-2</v>
      </c>
      <c r="E114" s="116">
        <f>Correlation!E114</f>
        <v>-2.7908788117076502E-2</v>
      </c>
      <c r="F114" s="116">
        <f>Correlation!F114</f>
        <v>-0.17158574164935969</v>
      </c>
    </row>
    <row r="115" spans="1:6" ht="15" x14ac:dyDescent="0.25">
      <c r="A115" s="115">
        <v>39787</v>
      </c>
      <c r="B115" s="116">
        <f>Correlation!B115</f>
        <v>6.7340321813441194E-3</v>
      </c>
      <c r="C115" s="116">
        <f>Correlation!C115</f>
        <v>4.1045433243115166E-2</v>
      </c>
      <c r="D115" s="116">
        <f>Correlation!D115</f>
        <v>5.0207835257052684E-2</v>
      </c>
      <c r="E115" s="116">
        <f>Correlation!E115</f>
        <v>5.0286498430369711E-2</v>
      </c>
      <c r="F115" s="116">
        <f>Correlation!F115</f>
        <v>-2.5157245972472469E-3</v>
      </c>
    </row>
    <row r="116" spans="1:6" ht="15" x14ac:dyDescent="0.25">
      <c r="A116" s="115">
        <v>39794</v>
      </c>
      <c r="B116" s="116">
        <f>Correlation!B116</f>
        <v>2.6491615446976285E-2</v>
      </c>
      <c r="C116" s="116">
        <f>Correlation!C116</f>
        <v>3.6846273385966292E-2</v>
      </c>
      <c r="D116" s="116">
        <f>Correlation!D116</f>
        <v>-1.5885626851378416E-3</v>
      </c>
      <c r="E116" s="116">
        <f>Correlation!E116</f>
        <v>5.8088337520379459E-2</v>
      </c>
      <c r="F116" s="116">
        <f>Correlation!F116</f>
        <v>0.22666379633746248</v>
      </c>
    </row>
    <row r="117" spans="1:6" ht="15" x14ac:dyDescent="0.25">
      <c r="A117" s="115">
        <v>39801</v>
      </c>
      <c r="B117" s="116">
        <f>Correlation!B117</f>
        <v>1.2987195526811112E-2</v>
      </c>
      <c r="C117" s="116">
        <f>Correlation!C117</f>
        <v>-0.10049153854632246</v>
      </c>
      <c r="D117" s="116">
        <f>Correlation!D117</f>
        <v>-1.5622188330971591E-2</v>
      </c>
      <c r="E117" s="116">
        <f>Correlation!E117</f>
        <v>3.3299414069049259E-2</v>
      </c>
      <c r="F117" s="116">
        <f>Correlation!F117</f>
        <v>-4.0989344533197004E-2</v>
      </c>
    </row>
    <row r="118" spans="1:6" ht="15" x14ac:dyDescent="0.25">
      <c r="A118" s="115">
        <v>39808</v>
      </c>
      <c r="B118" s="116">
        <f>Correlation!B118</f>
        <v>-3.9478810973787463E-2</v>
      </c>
      <c r="C118" s="116">
        <f>Correlation!C118</f>
        <v>4.4700178917906987E-2</v>
      </c>
      <c r="D118" s="116">
        <f>Correlation!D118</f>
        <v>5.23455996939388E-3</v>
      </c>
      <c r="E118" s="116">
        <f>Correlation!E118</f>
        <v>-1.0425334479224616E-2</v>
      </c>
      <c r="F118" s="116">
        <f>Correlation!F118</f>
        <v>-7.8482672439194592E-4</v>
      </c>
    </row>
    <row r="119" spans="1:6" ht="15" x14ac:dyDescent="0.25">
      <c r="A119" s="115">
        <v>39815</v>
      </c>
      <c r="B119" s="116">
        <f>Correlation!B119</f>
        <v>0</v>
      </c>
      <c r="C119" s="116">
        <f>Correlation!C119</f>
        <v>0</v>
      </c>
      <c r="D119" s="116">
        <f>Correlation!D119</f>
        <v>0</v>
      </c>
      <c r="E119" s="116">
        <f>Correlation!E119</f>
        <v>0</v>
      </c>
      <c r="F119" s="116">
        <f>Correlation!F119</f>
        <v>0</v>
      </c>
    </row>
    <row r="120" spans="1:6" ht="15" x14ac:dyDescent="0.25">
      <c r="A120" s="115">
        <v>39822</v>
      </c>
      <c r="B120" s="116">
        <f>Correlation!B120</f>
        <v>-6.688988150796652E-3</v>
      </c>
      <c r="C120" s="116">
        <f>Correlation!C120</f>
        <v>-4.5205436768046801E-2</v>
      </c>
      <c r="D120" s="116">
        <f>Correlation!D120</f>
        <v>3.9580447775777104E-4</v>
      </c>
      <c r="E120" s="116">
        <f>Correlation!E120</f>
        <v>1.3800643660924643E-2</v>
      </c>
      <c r="F120" s="116">
        <f>Correlation!F120</f>
        <v>-2.9494764883112857E-2</v>
      </c>
    </row>
    <row r="121" spans="1:6" ht="15" x14ac:dyDescent="0.25">
      <c r="A121" s="115">
        <v>39829</v>
      </c>
      <c r="B121" s="116">
        <f>Correlation!B121</f>
        <v>-6.7340321813440683E-3</v>
      </c>
      <c r="C121" s="116">
        <f>Correlation!C121</f>
        <v>1.7192400540372771E-2</v>
      </c>
      <c r="D121" s="116">
        <f>Correlation!D121</f>
        <v>-1.2744099202575142E-2</v>
      </c>
      <c r="E121" s="116">
        <f>Correlation!E121</f>
        <v>1.7764312493500155E-2</v>
      </c>
      <c r="F121" s="116">
        <f>Correlation!F121</f>
        <v>2.6534723254635906E-2</v>
      </c>
    </row>
    <row r="122" spans="1:6" ht="15" x14ac:dyDescent="0.25">
      <c r="A122" s="115">
        <v>39836</v>
      </c>
      <c r="B122" s="116">
        <f>Correlation!B122</f>
        <v>2.0067563050809388E-2</v>
      </c>
      <c r="C122" s="116">
        <f>Correlation!C122</f>
        <v>-3.4685557987890102E-2</v>
      </c>
      <c r="D122" s="116">
        <f>Correlation!D122</f>
        <v>-2.4077058180270606E-3</v>
      </c>
      <c r="E122" s="116">
        <f>Correlation!E122</f>
        <v>-3.3169663639726517E-2</v>
      </c>
      <c r="F122" s="116">
        <f>Correlation!F122</f>
        <v>-8.4499263700109087E-2</v>
      </c>
    </row>
    <row r="123" spans="1:6" ht="15" x14ac:dyDescent="0.25">
      <c r="A123" s="115">
        <v>39843</v>
      </c>
      <c r="B123" s="116">
        <f>Correlation!B123</f>
        <v>-2.0067563050809256E-2</v>
      </c>
      <c r="C123" s="116">
        <f>Correlation!C123</f>
        <v>8.7848295557328114E-3</v>
      </c>
      <c r="D123" s="116">
        <f>Correlation!D123</f>
        <v>-1.579299882881938E-2</v>
      </c>
      <c r="E123" s="116">
        <f>Correlation!E123</f>
        <v>2.2234902251887574E-2</v>
      </c>
      <c r="F123" s="116">
        <f>Correlation!F123</f>
        <v>3.6943515191684276E-2</v>
      </c>
    </row>
    <row r="124" spans="1:6" ht="15" x14ac:dyDescent="0.25">
      <c r="A124" s="115">
        <v>39850</v>
      </c>
      <c r="B124" s="116">
        <f>Correlation!B124</f>
        <v>6.7340321813441194E-3</v>
      </c>
      <c r="C124" s="116">
        <f>Correlation!C124</f>
        <v>-1.7647516813578228E-2</v>
      </c>
      <c r="D124" s="116">
        <f>Correlation!D124</f>
        <v>0</v>
      </c>
      <c r="E124" s="116">
        <f>Correlation!E124</f>
        <v>4.1797344027080657E-3</v>
      </c>
      <c r="F124" s="116">
        <f>Correlation!F124</f>
        <v>6.7852324937887981E-2</v>
      </c>
    </row>
    <row r="125" spans="1:6" ht="15" x14ac:dyDescent="0.25">
      <c r="A125" s="115">
        <v>39857</v>
      </c>
      <c r="B125" s="116">
        <f>Correlation!B125</f>
        <v>-4.8119248344198458E-2</v>
      </c>
      <c r="C125" s="116">
        <f>Correlation!C125</f>
        <v>5.2034859123053924E-2</v>
      </c>
      <c r="D125" s="116">
        <f>Correlation!D125</f>
        <v>-1.2320484388040624E-2</v>
      </c>
      <c r="E125" s="116">
        <f>Correlation!E125</f>
        <v>-1.7355155561272314E-2</v>
      </c>
      <c r="F125" s="116">
        <f>Correlation!F125</f>
        <v>2.5807883955872503E-2</v>
      </c>
    </row>
    <row r="126" spans="1:6" ht="15" x14ac:dyDescent="0.25">
      <c r="A126" s="115">
        <v>39864</v>
      </c>
      <c r="B126" s="116">
        <f>Correlation!B126</f>
        <v>7.0175726586465398E-3</v>
      </c>
      <c r="C126" s="116">
        <f>Correlation!C126</f>
        <v>5.7471353914478641E-2</v>
      </c>
      <c r="D126" s="116">
        <f>Correlation!D126</f>
        <v>-8.2988028146950658E-3</v>
      </c>
      <c r="E126" s="116">
        <f>Correlation!E126</f>
        <v>3.0819885138273259E-2</v>
      </c>
      <c r="F126" s="116">
        <f>Correlation!F126</f>
        <v>4.8801397663217227E-2</v>
      </c>
    </row>
    <row r="127" spans="1:6" ht="15" x14ac:dyDescent="0.25">
      <c r="A127" s="115">
        <v>39871</v>
      </c>
      <c r="B127" s="116">
        <f>Correlation!B127</f>
        <v>0</v>
      </c>
      <c r="C127" s="116">
        <f>Correlation!C127</f>
        <v>0</v>
      </c>
      <c r="D127" s="116">
        <f>Correlation!D127</f>
        <v>0</v>
      </c>
      <c r="E127" s="116">
        <f>Correlation!E127</f>
        <v>0</v>
      </c>
      <c r="F127" s="116">
        <f>Correlation!F127</f>
        <v>0</v>
      </c>
    </row>
    <row r="128" spans="1:6" ht="15" x14ac:dyDescent="0.25">
      <c r="A128" s="115">
        <v>39878</v>
      </c>
      <c r="B128" s="116">
        <f>Correlation!B128</f>
        <v>2.0067563050809388E-2</v>
      </c>
      <c r="C128" s="116">
        <f>Correlation!C128</f>
        <v>1.0554187678690171E-2</v>
      </c>
      <c r="D128" s="116">
        <f>Correlation!D128</f>
        <v>6.6225407604934569E-3</v>
      </c>
      <c r="E128" s="116">
        <f>Correlation!E128</f>
        <v>-9.4036822631808122E-3</v>
      </c>
      <c r="F128" s="116">
        <f>Correlation!F128</f>
        <v>-4.0426210040787239E-2</v>
      </c>
    </row>
    <row r="129" spans="1:6" ht="15" x14ac:dyDescent="0.25">
      <c r="A129" s="115">
        <v>39885</v>
      </c>
      <c r="B129" s="116">
        <f>Correlation!B129</f>
        <v>0</v>
      </c>
      <c r="C129" s="116">
        <f>Correlation!C129</f>
        <v>1.0443959161083314E-2</v>
      </c>
      <c r="D129" s="116">
        <f>Correlation!D129</f>
        <v>-8.7011114527361655E-3</v>
      </c>
      <c r="E129" s="116">
        <f>Correlation!E129</f>
        <v>6.9375897679872876E-3</v>
      </c>
      <c r="F129" s="116">
        <f>Correlation!F129</f>
        <v>2.7814163289961898E-2</v>
      </c>
    </row>
    <row r="130" spans="1:6" ht="15" x14ac:dyDescent="0.25">
      <c r="A130" s="115">
        <v>39892</v>
      </c>
      <c r="B130" s="116">
        <f>Correlation!B130</f>
        <v>0</v>
      </c>
      <c r="C130" s="116">
        <f>Correlation!C130</f>
        <v>-2.365419089788983E-2</v>
      </c>
      <c r="D130" s="116">
        <f>Correlation!D130</f>
        <v>1.2476607981552772E-3</v>
      </c>
      <c r="E130" s="116">
        <f>Correlation!E130</f>
        <v>2.9585820397452626E-3</v>
      </c>
      <c r="F130" s="116">
        <f>Correlation!F130</f>
        <v>4.2896603415514866E-3</v>
      </c>
    </row>
    <row r="131" spans="1:6" ht="15" x14ac:dyDescent="0.25">
      <c r="A131" s="115">
        <v>39899</v>
      </c>
      <c r="B131" s="116">
        <f>Correlation!B131</f>
        <v>-1.3333530869465144E-2</v>
      </c>
      <c r="C131" s="116">
        <f>Correlation!C131</f>
        <v>-3.2435275753153733E-2</v>
      </c>
      <c r="D131" s="116">
        <f>Correlation!D131</f>
        <v>-5.0000104167056405E-3</v>
      </c>
      <c r="E131" s="116">
        <f>Correlation!E131</f>
        <v>-7.4129323891255223E-3</v>
      </c>
      <c r="F131" s="116">
        <f>Correlation!F131</f>
        <v>-4.9942478868618981E-2</v>
      </c>
    </row>
    <row r="132" spans="1:6" ht="15" x14ac:dyDescent="0.25">
      <c r="A132" s="115">
        <v>39906</v>
      </c>
      <c r="B132" s="116">
        <f>Correlation!B132</f>
        <v>-6.7340321813440683E-3</v>
      </c>
      <c r="C132" s="116">
        <f>Correlation!C132</f>
        <v>2.4424552007074794E-2</v>
      </c>
      <c r="D132" s="116">
        <f>Correlation!D132</f>
        <v>-5.8651194523981339E-3</v>
      </c>
      <c r="E132" s="116">
        <f>Correlation!E132</f>
        <v>1.4282439285642944E-2</v>
      </c>
      <c r="F132" s="116">
        <f>Correlation!F132</f>
        <v>2.4342402068454502E-2</v>
      </c>
    </row>
    <row r="133" spans="1:6" ht="15" x14ac:dyDescent="0.25">
      <c r="A133" s="115">
        <v>39913</v>
      </c>
      <c r="B133" s="116">
        <f>Correlation!B133</f>
        <v>6.7340321813441194E-3</v>
      </c>
      <c r="C133" s="116">
        <f>Correlation!C133</f>
        <v>4.4568319479876599E-2</v>
      </c>
      <c r="D133" s="116">
        <f>Correlation!D133</f>
        <v>2.2024576118002372E-2</v>
      </c>
      <c r="E133" s="116">
        <f>Correlation!E133</f>
        <v>8.1208099433410189E-2</v>
      </c>
      <c r="F133" s="116">
        <f>Correlation!F133</f>
        <v>8.7638532858414372E-2</v>
      </c>
    </row>
    <row r="134" spans="1:6" ht="15" x14ac:dyDescent="0.25">
      <c r="A134" s="115">
        <v>39920</v>
      </c>
      <c r="B134" s="116">
        <f>Correlation!B134</f>
        <v>3.9478810973787422E-2</v>
      </c>
      <c r="C134" s="116">
        <f>Correlation!C134</f>
        <v>3.278982282299097E-2</v>
      </c>
      <c r="D134" s="116">
        <f>Correlation!D134</f>
        <v>5.0882194690085487E-2</v>
      </c>
      <c r="E134" s="116">
        <f>Correlation!E134</f>
        <v>2.8008054374075841E-2</v>
      </c>
      <c r="F134" s="116">
        <f>Correlation!F134</f>
        <v>5.60616014073601E-2</v>
      </c>
    </row>
    <row r="135" spans="1:6" ht="15" x14ac:dyDescent="0.25">
      <c r="A135" s="115">
        <v>39927</v>
      </c>
      <c r="B135" s="116">
        <f>Correlation!B135</f>
        <v>3.174869831458027E-2</v>
      </c>
      <c r="C135" s="116">
        <f>Correlation!C135</f>
        <v>-9.9751450568195087E-3</v>
      </c>
      <c r="D135" s="116">
        <f>Correlation!D135</f>
        <v>2.5835252211931663E-2</v>
      </c>
      <c r="E135" s="116">
        <f>Correlation!E135</f>
        <v>5.6671179373088784E-2</v>
      </c>
      <c r="F135" s="116">
        <f>Correlation!F135</f>
        <v>1.6348158938306833E-2</v>
      </c>
    </row>
    <row r="136" spans="1:6" ht="15" x14ac:dyDescent="0.25">
      <c r="A136" s="115">
        <v>39934</v>
      </c>
      <c r="B136" s="116">
        <f>Correlation!B136</f>
        <v>0</v>
      </c>
      <c r="C136" s="116">
        <f>Correlation!C136</f>
        <v>1.2453461071286557E-2</v>
      </c>
      <c r="D136" s="116">
        <f>Correlation!D136</f>
        <v>4.0288925170541855E-2</v>
      </c>
      <c r="E136" s="116">
        <f>Correlation!E136</f>
        <v>3.5805289369379531E-2</v>
      </c>
      <c r="F136" s="116">
        <f>Correlation!F136</f>
        <v>5.6128343624864782E-2</v>
      </c>
    </row>
    <row r="137" spans="1:6" ht="15" x14ac:dyDescent="0.25">
      <c r="A137" s="115">
        <v>39941</v>
      </c>
      <c r="B137" s="116">
        <f>Correlation!B137</f>
        <v>2.4692612590371414E-2</v>
      </c>
      <c r="C137" s="116">
        <f>Correlation!C137</f>
        <v>3.4066554563606272E-2</v>
      </c>
      <c r="D137" s="116">
        <f>Correlation!D137</f>
        <v>3.7672616299170042E-2</v>
      </c>
      <c r="E137" s="116">
        <f>Correlation!E137</f>
        <v>3.8421032982717013E-2</v>
      </c>
      <c r="F137" s="116">
        <f>Correlation!F137</f>
        <v>7.056396371899272E-2</v>
      </c>
    </row>
    <row r="138" spans="1:6" ht="15" x14ac:dyDescent="0.25">
      <c r="A138" s="115">
        <v>39948</v>
      </c>
      <c r="B138" s="116">
        <f>Correlation!B138</f>
        <v>3.0032287098875076E-2</v>
      </c>
      <c r="C138" s="116">
        <f>Correlation!C138</f>
        <v>-1.2033839563723565E-2</v>
      </c>
      <c r="D138" s="116">
        <f>Correlation!D138</f>
        <v>1.5720847786948246E-2</v>
      </c>
      <c r="E138" s="116">
        <f>Correlation!E138</f>
        <v>1.4888612493750559E-2</v>
      </c>
      <c r="F138" s="116">
        <f>Correlation!F138</f>
        <v>3.5167103222317669E-2</v>
      </c>
    </row>
    <row r="139" spans="1:6" ht="15" x14ac:dyDescent="0.25">
      <c r="A139" s="115">
        <v>39955</v>
      </c>
      <c r="B139" s="116">
        <f>Correlation!B139</f>
        <v>5.899722127188322E-3</v>
      </c>
      <c r="C139" s="116">
        <f>Correlation!C139</f>
        <v>-7.8026984354457582E-2</v>
      </c>
      <c r="D139" s="116">
        <f>Correlation!D139</f>
        <v>-4.7923988281583008E-2</v>
      </c>
      <c r="E139" s="116">
        <f>Correlation!E139</f>
        <v>4.1595824769439472E-3</v>
      </c>
      <c r="F139" s="116">
        <f>Correlation!F139</f>
        <v>2.3664426139163943E-2</v>
      </c>
    </row>
    <row r="140" spans="1:6" ht="15" x14ac:dyDescent="0.25">
      <c r="A140" s="115">
        <v>39962</v>
      </c>
      <c r="B140" s="116">
        <f>Correlation!B140</f>
        <v>-1.7804624633506707E-2</v>
      </c>
      <c r="C140" s="116">
        <f>Correlation!C140</f>
        <v>-4.5523255024083699E-2</v>
      </c>
      <c r="D140" s="116">
        <f>Correlation!D140</f>
        <v>-5.225069034387788E-2</v>
      </c>
      <c r="E140" s="116">
        <f>Correlation!E140</f>
        <v>-2.1744133441603482E-2</v>
      </c>
      <c r="F140" s="116">
        <f>Correlation!F140</f>
        <v>-2.4574206338383062E-2</v>
      </c>
    </row>
    <row r="141" spans="1:6" ht="15" x14ac:dyDescent="0.25">
      <c r="A141" s="115">
        <v>39969</v>
      </c>
      <c r="B141" s="116">
        <f>Correlation!B141</f>
        <v>-6.0060240602119218E-3</v>
      </c>
      <c r="C141" s="116">
        <f>Correlation!C141</f>
        <v>-5.9255696209093135E-2</v>
      </c>
      <c r="D141" s="116">
        <f>Correlation!D141</f>
        <v>-8.9061544022244338E-2</v>
      </c>
      <c r="E141" s="116">
        <f>Correlation!E141</f>
        <v>-1.1637059174593211E-2</v>
      </c>
      <c r="F141" s="116">
        <f>Correlation!F141</f>
        <v>1.4308550464670975E-2</v>
      </c>
    </row>
    <row r="142" spans="1:6" ht="15" x14ac:dyDescent="0.25">
      <c r="A142" s="115">
        <v>39976</v>
      </c>
      <c r="B142" s="116">
        <f>Correlation!B142</f>
        <v>-6.0423144559625863E-3</v>
      </c>
      <c r="C142" s="116">
        <f>Correlation!C142</f>
        <v>-0.11054187439982384</v>
      </c>
      <c r="D142" s="116">
        <f>Correlation!D142</f>
        <v>-0.18921407798668172</v>
      </c>
      <c r="E142" s="116">
        <f>Correlation!E142</f>
        <v>-3.3323194328880666E-2</v>
      </c>
      <c r="F142" s="116">
        <f>Correlation!F142</f>
        <v>-9.4009993560054184E-2</v>
      </c>
    </row>
    <row r="143" spans="1:6" ht="15" x14ac:dyDescent="0.25">
      <c r="A143" s="115">
        <v>39983</v>
      </c>
      <c r="B143" s="116">
        <f>Correlation!B143</f>
        <v>-4.3350440873613741E-2</v>
      </c>
      <c r="C143" s="116">
        <f>Correlation!C143</f>
        <v>3.2414939241710229E-3</v>
      </c>
      <c r="D143" s="116">
        <f>Correlation!D143</f>
        <v>-9.8858979473012476E-2</v>
      </c>
      <c r="E143" s="116">
        <f>Correlation!E143</f>
        <v>-2.7813653854019516E-2</v>
      </c>
      <c r="F143" s="116">
        <f>Correlation!F143</f>
        <v>-4.7263483909349112E-2</v>
      </c>
    </row>
    <row r="144" spans="1:6" ht="15" x14ac:dyDescent="0.25">
      <c r="A144" s="115">
        <v>39990</v>
      </c>
      <c r="B144" s="116">
        <f>Correlation!B144</f>
        <v>-2.564243061333767E-2</v>
      </c>
      <c r="C144" s="116">
        <f>Correlation!C144</f>
        <v>-2.9558802241544391E-2</v>
      </c>
      <c r="D144" s="116">
        <f>Correlation!D144</f>
        <v>-6.6402454575633887E-2</v>
      </c>
      <c r="E144" s="116">
        <f>Correlation!E144</f>
        <v>2.0119750745237357E-2</v>
      </c>
      <c r="F144" s="116">
        <f>Correlation!F144</f>
        <v>7.272913705074735E-2</v>
      </c>
    </row>
    <row r="145" spans="1:6" ht="15" x14ac:dyDescent="0.25">
      <c r="A145" s="115">
        <v>39997</v>
      </c>
      <c r="B145" s="116">
        <f>Correlation!B145</f>
        <v>6.4725145056175196E-3</v>
      </c>
      <c r="C145" s="116">
        <f>Correlation!C145</f>
        <v>1.6529301951210506E-2</v>
      </c>
      <c r="D145" s="116">
        <f>Correlation!D145</f>
        <v>-2.1116923440922697E-2</v>
      </c>
      <c r="E145" s="116">
        <f>Correlation!E145</f>
        <v>2.051973023117654E-2</v>
      </c>
      <c r="F145" s="116">
        <f>Correlation!F145</f>
        <v>4.6621926463006592E-2</v>
      </c>
    </row>
    <row r="146" spans="1:6" ht="15" x14ac:dyDescent="0.25">
      <c r="A146" s="115">
        <v>40004</v>
      </c>
      <c r="B146" s="116">
        <f>Correlation!B146</f>
        <v>0</v>
      </c>
      <c r="C146" s="116">
        <f>Correlation!C146</f>
        <v>8.4823192309076922E-2</v>
      </c>
      <c r="D146" s="116">
        <f>Correlation!D146</f>
        <v>-2.4420036555517443E-3</v>
      </c>
      <c r="E146" s="116">
        <f>Correlation!E146</f>
        <v>3.3290718666395637E-2</v>
      </c>
      <c r="F146" s="116">
        <f>Correlation!F146</f>
        <v>5.139264744636908E-2</v>
      </c>
    </row>
    <row r="147" spans="1:6" ht="15" x14ac:dyDescent="0.25">
      <c r="A147" s="115">
        <v>40011</v>
      </c>
      <c r="B147" s="116">
        <f>Correlation!B147</f>
        <v>0</v>
      </c>
      <c r="C147" s="116">
        <f>Correlation!C147</f>
        <v>-6.8562671437296538E-2</v>
      </c>
      <c r="D147" s="116">
        <f>Correlation!D147</f>
        <v>-2.8520221948415147E-2</v>
      </c>
      <c r="E147" s="116">
        <f>Correlation!E147</f>
        <v>-6.1823999083175391E-3</v>
      </c>
      <c r="F147" s="116">
        <f>Correlation!F147</f>
        <v>1.2409971676312581E-2</v>
      </c>
    </row>
    <row r="148" spans="1:6" ht="15" x14ac:dyDescent="0.25">
      <c r="A148" s="115">
        <v>40018</v>
      </c>
      <c r="B148" s="116">
        <f>Correlation!B148</f>
        <v>-2.614528010432236E-2</v>
      </c>
      <c r="C148" s="116">
        <f>Correlation!C148</f>
        <v>-2.2839491969822903E-2</v>
      </c>
      <c r="D148" s="116">
        <f>Correlation!D148</f>
        <v>-2.483413203773838E-2</v>
      </c>
      <c r="E148" s="116">
        <f>Correlation!E148</f>
        <v>-3.10559255815313E-3</v>
      </c>
      <c r="F148" s="116">
        <f>Correlation!F148</f>
        <v>-1.750496777700036E-2</v>
      </c>
    </row>
    <row r="149" spans="1:6" ht="15" x14ac:dyDescent="0.25">
      <c r="A149" s="115">
        <v>40025</v>
      </c>
      <c r="B149" s="116">
        <f>Correlation!B149</f>
        <v>1.9672765598704928E-2</v>
      </c>
      <c r="C149" s="116">
        <f>Correlation!C149</f>
        <v>2.9270382300113237E-2</v>
      </c>
      <c r="D149" s="116">
        <f>Correlation!D149</f>
        <v>-1.3632148790057644E-2</v>
      </c>
      <c r="E149" s="116">
        <f>Correlation!E149</f>
        <v>-7.4146681160261784E-3</v>
      </c>
      <c r="F149" s="116">
        <f>Correlation!F149</f>
        <v>2.1798048211507298E-2</v>
      </c>
    </row>
    <row r="150" spans="1:6" ht="15" x14ac:dyDescent="0.25">
      <c r="A150" s="115">
        <v>40032</v>
      </c>
      <c r="B150" s="116">
        <f>Correlation!B150</f>
        <v>-6.5146810211937538E-3</v>
      </c>
      <c r="C150" s="116">
        <f>Correlation!C150</f>
        <v>0</v>
      </c>
      <c r="D150" s="116">
        <f>Correlation!D150</f>
        <v>-1.9627091678488173E-3</v>
      </c>
      <c r="E150" s="116">
        <f>Correlation!E150</f>
        <v>-1.3407140888873521E-2</v>
      </c>
      <c r="F150" s="116">
        <f>Correlation!F150</f>
        <v>-6.2607880906515423E-2</v>
      </c>
    </row>
    <row r="151" spans="1:6" ht="15" x14ac:dyDescent="0.25">
      <c r="A151" s="115">
        <v>40039</v>
      </c>
      <c r="B151" s="116">
        <f>Correlation!B151</f>
        <v>0</v>
      </c>
      <c r="C151" s="116">
        <f>Correlation!C151</f>
        <v>-2.2691411202070879E-2</v>
      </c>
      <c r="D151" s="116">
        <f>Correlation!D151</f>
        <v>-5.3844768609850862E-3</v>
      </c>
      <c r="E151" s="116">
        <f>Correlation!E151</f>
        <v>-7.9713455176578692E-3</v>
      </c>
      <c r="F151" s="116">
        <f>Correlation!F151</f>
        <v>2.1803735720034384E-2</v>
      </c>
    </row>
    <row r="152" spans="1:6" ht="15" x14ac:dyDescent="0.25">
      <c r="A152" s="115">
        <v>40046</v>
      </c>
      <c r="B152" s="116">
        <f>Correlation!B152</f>
        <v>0</v>
      </c>
      <c r="C152" s="116">
        <f>Correlation!C152</f>
        <v>4.1739606172765342E-2</v>
      </c>
      <c r="D152" s="116">
        <f>Correlation!D152</f>
        <v>5.8934554819327134E-2</v>
      </c>
      <c r="E152" s="116">
        <f>Correlation!E152</f>
        <v>-8.8425013455929527E-3</v>
      </c>
      <c r="F152" s="116">
        <f>Correlation!F152</f>
        <v>6.2277781358517281E-3</v>
      </c>
    </row>
    <row r="153" spans="1:6" ht="15" x14ac:dyDescent="0.25">
      <c r="A153" s="115">
        <v>40053</v>
      </c>
      <c r="B153" s="116">
        <f>Correlation!B153</f>
        <v>1.2987195526811112E-2</v>
      </c>
      <c r="C153" s="116">
        <f>Correlation!C153</f>
        <v>-1.5848192240023727E-2</v>
      </c>
      <c r="D153" s="116">
        <f>Correlation!D153</f>
        <v>6.0222890715219038E-2</v>
      </c>
      <c r="E153" s="116">
        <f>Correlation!E153</f>
        <v>-2.1216626117775989E-2</v>
      </c>
      <c r="F153" s="116">
        <f>Correlation!F153</f>
        <v>-1.2644274074197125E-2</v>
      </c>
    </row>
    <row r="154" spans="1:6" ht="15" x14ac:dyDescent="0.25">
      <c r="A154" s="115">
        <v>40060</v>
      </c>
      <c r="B154" s="116">
        <f>Correlation!B154</f>
        <v>1.9169916107720123E-2</v>
      </c>
      <c r="C154" s="116">
        <f>Correlation!C154</f>
        <v>5.2889463920372637E-2</v>
      </c>
      <c r="D154" s="116">
        <f>Correlation!D154</f>
        <v>3.1639107271711937E-2</v>
      </c>
      <c r="E154" s="116">
        <f>Correlation!E154</f>
        <v>-1.2030844136243583E-2</v>
      </c>
      <c r="F154" s="116">
        <f>Correlation!F154</f>
        <v>-4.0790807381828463E-2</v>
      </c>
    </row>
    <row r="155" spans="1:6" ht="15" x14ac:dyDescent="0.25">
      <c r="A155" s="115">
        <v>40067</v>
      </c>
      <c r="B155" s="116">
        <f>Correlation!B155</f>
        <v>5.5398779389788169E-2</v>
      </c>
      <c r="C155" s="116">
        <f>Correlation!C155</f>
        <v>3.8637792705414134E-2</v>
      </c>
      <c r="D155" s="116">
        <f>Correlation!D155</f>
        <v>9.0356098044425653E-2</v>
      </c>
      <c r="E155" s="116">
        <f>Correlation!E155</f>
        <v>1.49132838507176E-2</v>
      </c>
      <c r="F155" s="116">
        <f>Correlation!F155</f>
        <v>3.3579237666267886E-2</v>
      </c>
    </row>
    <row r="156" spans="1:6" ht="15" x14ac:dyDescent="0.25">
      <c r="A156" s="115">
        <v>40074</v>
      </c>
      <c r="B156" s="116">
        <f>Correlation!B156</f>
        <v>6.3789737875330002E-2</v>
      </c>
      <c r="C156" s="116">
        <f>Correlation!C156</f>
        <v>6.7631400888630275E-2</v>
      </c>
      <c r="D156" s="116">
        <f>Correlation!D156</f>
        <v>7.3294693487032783E-2</v>
      </c>
      <c r="E156" s="116">
        <f>Correlation!E156</f>
        <v>4.0295540178009237E-2</v>
      </c>
      <c r="F156" s="116">
        <f>Correlation!F156</f>
        <v>4.8560371556253465E-2</v>
      </c>
    </row>
    <row r="157" spans="1:6" ht="15" x14ac:dyDescent="0.25">
      <c r="A157" s="115">
        <v>40081</v>
      </c>
      <c r="B157" s="116">
        <f>Correlation!B157</f>
        <v>5.4658412537863979E-2</v>
      </c>
      <c r="C157" s="116">
        <f>Correlation!C157</f>
        <v>2.9532347565017308E-2</v>
      </c>
      <c r="D157" s="116">
        <f>Correlation!D157</f>
        <v>5.745217410697958E-2</v>
      </c>
      <c r="E157" s="116">
        <f>Correlation!E157</f>
        <v>4.2148129033065314E-2</v>
      </c>
      <c r="F157" s="116">
        <f>Correlation!F157</f>
        <v>7.1766002597138612E-2</v>
      </c>
    </row>
    <row r="158" spans="1:6" ht="15" x14ac:dyDescent="0.25">
      <c r="A158" s="115">
        <v>40088</v>
      </c>
      <c r="B158" s="116">
        <f>Correlation!B158</f>
        <v>3.1416196233378914E-2</v>
      </c>
      <c r="C158" s="116">
        <f>Correlation!C158</f>
        <v>-3.2260862218221324E-2</v>
      </c>
      <c r="D158" s="116">
        <f>Correlation!D158</f>
        <v>4.0912775692302394E-2</v>
      </c>
      <c r="E158" s="116">
        <f>Correlation!E158</f>
        <v>7.168489478612497E-3</v>
      </c>
      <c r="F158" s="116">
        <f>Correlation!F158</f>
        <v>1.1167358809825187E-2</v>
      </c>
    </row>
    <row r="159" spans="1:6" ht="15" x14ac:dyDescent="0.25">
      <c r="A159" s="115">
        <v>40095</v>
      </c>
      <c r="B159" s="116">
        <f>Correlation!B159</f>
        <v>-5.1679701584425612E-3</v>
      </c>
      <c r="C159" s="116">
        <f>Correlation!C159</f>
        <v>-1.3755375068485457E-2</v>
      </c>
      <c r="D159" s="116">
        <f>Correlation!D159</f>
        <v>6.5146810211936723E-3</v>
      </c>
      <c r="E159" s="116">
        <f>Correlation!E159</f>
        <v>-1.2483612090204996E-2</v>
      </c>
      <c r="F159" s="116">
        <f>Correlation!F159</f>
        <v>-4.3723156769963764E-3</v>
      </c>
    </row>
    <row r="160" spans="1:6" ht="15" x14ac:dyDescent="0.25">
      <c r="A160" s="115">
        <v>40102</v>
      </c>
      <c r="B160" s="116">
        <f>Correlation!B160</f>
        <v>5.1679701584425976E-3</v>
      </c>
      <c r="C160" s="116">
        <f>Correlation!C160</f>
        <v>5.5248759319698072E-3</v>
      </c>
      <c r="D160" s="116">
        <f>Correlation!D160</f>
        <v>1.5037877364540502E-2</v>
      </c>
      <c r="E160" s="116">
        <f>Correlation!E160</f>
        <v>-1.6117002743010256E-2</v>
      </c>
      <c r="F160" s="116">
        <f>Correlation!F160</f>
        <v>-1.1485168983242299E-2</v>
      </c>
    </row>
    <row r="161" spans="1:6" ht="15" x14ac:dyDescent="0.25">
      <c r="A161" s="115">
        <v>40109</v>
      </c>
      <c r="B161" s="116">
        <f>Correlation!B161</f>
        <v>3.0459207484708654E-2</v>
      </c>
      <c r="C161" s="116">
        <f>Correlation!C161</f>
        <v>2.9852963149681343E-2</v>
      </c>
      <c r="D161" s="116">
        <f>Correlation!D161</f>
        <v>1.2712035588361944E-2</v>
      </c>
      <c r="E161" s="116">
        <f>Correlation!E161</f>
        <v>6.9391180520359799E-3</v>
      </c>
      <c r="F161" s="116">
        <f>Correlation!F161</f>
        <v>-1.209596276774739E-3</v>
      </c>
    </row>
    <row r="162" spans="1:6" ht="15" x14ac:dyDescent="0.25">
      <c r="A162" s="115">
        <v>40116</v>
      </c>
      <c r="B162" s="116">
        <f>Correlation!B162</f>
        <v>3.4401426717332317E-2</v>
      </c>
      <c r="C162" s="116">
        <f>Correlation!C162</f>
        <v>-3.8151765964376291E-2</v>
      </c>
      <c r="D162" s="116">
        <f>Correlation!D162</f>
        <v>-1.1603907784562169E-2</v>
      </c>
      <c r="E162" s="116">
        <f>Correlation!E162</f>
        <v>-3.4635401181763322E-3</v>
      </c>
      <c r="F162" s="116">
        <f>Correlation!F162</f>
        <v>-1.3812000210063211E-2</v>
      </c>
    </row>
    <row r="163" spans="1:6" ht="15" x14ac:dyDescent="0.25">
      <c r="A163" s="115">
        <v>40123</v>
      </c>
      <c r="B163" s="116">
        <f>Correlation!B163</f>
        <v>-9.7088141269609379E-3</v>
      </c>
      <c r="C163" s="116">
        <f>Correlation!C163</f>
        <v>2.4692612590371414E-2</v>
      </c>
      <c r="D163" s="116">
        <f>Correlation!D163</f>
        <v>-6.6672612137965012E-3</v>
      </c>
      <c r="E163" s="116">
        <f>Correlation!E163</f>
        <v>2.6949005722623764E-3</v>
      </c>
      <c r="F163" s="116">
        <f>Correlation!F163</f>
        <v>2.4513154042515952E-3</v>
      </c>
    </row>
    <row r="164" spans="1:6" ht="15" x14ac:dyDescent="0.25">
      <c r="A164" s="115">
        <v>40130</v>
      </c>
      <c r="B164" s="116">
        <f>Correlation!B164</f>
        <v>0</v>
      </c>
      <c r="C164" s="116">
        <f>Correlation!C164</f>
        <v>-7.0154986667128869E-2</v>
      </c>
      <c r="D164" s="116">
        <f>Correlation!D164</f>
        <v>-8.1808852389437074E-3</v>
      </c>
      <c r="E164" s="116">
        <f>Correlation!E164</f>
        <v>-1.5888727975043353E-2</v>
      </c>
      <c r="F164" s="116">
        <f>Correlation!F164</f>
        <v>-2.3951592327970297E-2</v>
      </c>
    </row>
    <row r="165" spans="1:6" ht="15" x14ac:dyDescent="0.25">
      <c r="A165" s="115">
        <v>40137</v>
      </c>
      <c r="B165" s="116">
        <f>Correlation!B165</f>
        <v>-4.4895319907890877E-2</v>
      </c>
      <c r="C165" s="116">
        <f>Correlation!C165</f>
        <v>7.2861348264871895E-2</v>
      </c>
      <c r="D165" s="116">
        <f>Correlation!D165</f>
        <v>-4.3292979752203246E-2</v>
      </c>
      <c r="E165" s="116">
        <f>Correlation!E165</f>
        <v>-5.4837583562564645E-3</v>
      </c>
      <c r="F165" s="116">
        <f>Correlation!F165</f>
        <v>-4.6626165704653472E-2</v>
      </c>
    </row>
    <row r="166" spans="1:6" ht="15" x14ac:dyDescent="0.25">
      <c r="A166" s="115">
        <v>40144</v>
      </c>
      <c r="B166" s="116">
        <f>Correlation!B166</f>
        <v>-4.7006042375930486E-2</v>
      </c>
      <c r="C166" s="116">
        <f>Correlation!C166</f>
        <v>-8.1411575836998849E-3</v>
      </c>
      <c r="D166" s="116">
        <f>Correlation!D166</f>
        <v>-1.8223738956451498E-2</v>
      </c>
      <c r="E166" s="116">
        <f>Correlation!E166</f>
        <v>7.0450389232088384E-3</v>
      </c>
      <c r="F166" s="116">
        <f>Correlation!F166</f>
        <v>2.0658011620421982E-2</v>
      </c>
    </row>
    <row r="167" spans="1:6" ht="15" x14ac:dyDescent="0.25">
      <c r="A167" s="115">
        <v>40151</v>
      </c>
      <c r="B167" s="116">
        <f>Correlation!B167</f>
        <v>0</v>
      </c>
      <c r="C167" s="116">
        <f>Correlation!C167</f>
        <v>3.7437527072130806E-2</v>
      </c>
      <c r="D167" s="116">
        <f>Correlation!D167</f>
        <v>-2.3256862164267235E-2</v>
      </c>
      <c r="E167" s="116">
        <f>Correlation!E167</f>
        <v>2.4273971644979107E-2</v>
      </c>
      <c r="F167" s="116">
        <f>Correlation!F167</f>
        <v>5.656248757414524E-2</v>
      </c>
    </row>
    <row r="168" spans="1:6" ht="15" x14ac:dyDescent="0.25">
      <c r="A168" s="115">
        <v>40158</v>
      </c>
      <c r="B168" s="116">
        <f>Correlation!B168</f>
        <v>0</v>
      </c>
      <c r="C168" s="116">
        <f>Correlation!C168</f>
        <v>1.3037994338129801E-2</v>
      </c>
      <c r="D168" s="116">
        <f>Correlation!D168</f>
        <v>-3.1065819574890487E-2</v>
      </c>
      <c r="E168" s="116">
        <f>Correlation!E168</f>
        <v>3.3685819740807921E-2</v>
      </c>
      <c r="F168" s="116">
        <f>Correlation!F168</f>
        <v>5.2123918112133377E-2</v>
      </c>
    </row>
    <row r="169" spans="1:6" ht="15" x14ac:dyDescent="0.25">
      <c r="A169" s="115">
        <v>40165</v>
      </c>
      <c r="B169" s="116">
        <f>Correlation!B169</f>
        <v>-5.3619431413853991E-3</v>
      </c>
      <c r="C169" s="116">
        <f>Correlation!C169</f>
        <v>-4.2334363826560653E-2</v>
      </c>
      <c r="D169" s="116">
        <f>Correlation!D169</f>
        <v>-1.4670189747793742E-2</v>
      </c>
      <c r="E169" s="116">
        <f>Correlation!E169</f>
        <v>-5.1660631499002643E-3</v>
      </c>
      <c r="F169" s="116">
        <f>Correlation!F169</f>
        <v>-8.9818444480589481E-4</v>
      </c>
    </row>
    <row r="170" spans="1:6" ht="15" x14ac:dyDescent="0.25">
      <c r="A170" s="115">
        <v>40172</v>
      </c>
      <c r="B170" s="116">
        <f>Correlation!B170</f>
        <v>-3.836086787244633E-2</v>
      </c>
      <c r="C170" s="116">
        <f>Correlation!C170</f>
        <v>-7.5772558472330248E-2</v>
      </c>
      <c r="D170" s="116">
        <f>Correlation!D170</f>
        <v>-9.9010709827115698E-3</v>
      </c>
      <c r="E170" s="116">
        <f>Correlation!E170</f>
        <v>-1.3783045537793637E-2</v>
      </c>
      <c r="F170" s="116">
        <f>Correlation!F170</f>
        <v>-4.7449599712987761E-2</v>
      </c>
    </row>
    <row r="171" spans="1:6" ht="15" x14ac:dyDescent="0.25">
      <c r="A171" s="115">
        <v>40179</v>
      </c>
      <c r="B171" s="116">
        <f>Correlation!B171</f>
        <v>-2.2599831917240919E-2</v>
      </c>
      <c r="C171" s="116">
        <f>Correlation!C171</f>
        <v>-5.8479698824230996E-3</v>
      </c>
      <c r="D171" s="116">
        <f>Correlation!D171</f>
        <v>1.7263067423780771E-2</v>
      </c>
      <c r="E171" s="116">
        <f>Correlation!E171</f>
        <v>-1.8168554268808711E-2</v>
      </c>
      <c r="F171" s="116">
        <f>Correlation!F171</f>
        <v>-4.1220288034177814E-2</v>
      </c>
    </row>
    <row r="172" spans="1:6" ht="15" x14ac:dyDescent="0.25">
      <c r="A172" s="115">
        <v>40186</v>
      </c>
      <c r="B172" s="116">
        <f>Correlation!B172</f>
        <v>-1.1494379425735134E-2</v>
      </c>
      <c r="C172" s="116">
        <f>Correlation!C172</f>
        <v>-1.1799546931155055E-2</v>
      </c>
      <c r="D172" s="116">
        <f>Correlation!D172</f>
        <v>1.456336418789651E-2</v>
      </c>
      <c r="E172" s="116">
        <f>Correlation!E172</f>
        <v>-2.6773777707162919E-3</v>
      </c>
      <c r="F172" s="116">
        <f>Correlation!F172</f>
        <v>-7.4621958379525654E-3</v>
      </c>
    </row>
    <row r="173" spans="1:6" ht="15" x14ac:dyDescent="0.25">
      <c r="A173" s="115">
        <v>40193</v>
      </c>
      <c r="B173" s="116">
        <f>Correlation!B173</f>
        <v>0</v>
      </c>
      <c r="C173" s="116">
        <f>Correlation!C173</f>
        <v>0</v>
      </c>
      <c r="D173" s="116">
        <f>Correlation!D173</f>
        <v>0</v>
      </c>
      <c r="E173" s="116">
        <f>Correlation!E173</f>
        <v>0</v>
      </c>
      <c r="F173" s="116">
        <f>Correlation!F173</f>
        <v>0</v>
      </c>
    </row>
    <row r="174" spans="1:6" ht="15" x14ac:dyDescent="0.25">
      <c r="A174" s="115">
        <v>40200</v>
      </c>
      <c r="B174" s="116">
        <f>Correlation!B174</f>
        <v>0</v>
      </c>
      <c r="C174" s="116">
        <f>Correlation!C174</f>
        <v>0</v>
      </c>
      <c r="D174" s="116">
        <f>Correlation!D174</f>
        <v>0</v>
      </c>
      <c r="E174" s="116">
        <f>Correlation!E174</f>
        <v>0</v>
      </c>
      <c r="F174" s="116">
        <f>Correlation!F174</f>
        <v>0</v>
      </c>
    </row>
    <row r="175" spans="1:6" ht="15" x14ac:dyDescent="0.25">
      <c r="A175" s="115">
        <v>40207</v>
      </c>
      <c r="B175" s="116">
        <f>Correlation!B175</f>
        <v>0</v>
      </c>
      <c r="C175" s="116">
        <f>Correlation!C175</f>
        <v>0</v>
      </c>
      <c r="D175" s="116">
        <f>Correlation!D175</f>
        <v>0</v>
      </c>
      <c r="E175" s="116">
        <f>Correlation!E175</f>
        <v>0</v>
      </c>
      <c r="F175" s="116">
        <f>Correlation!F175</f>
        <v>0</v>
      </c>
    </row>
    <row r="176" spans="1:6" ht="15" x14ac:dyDescent="0.25">
      <c r="A176" s="115">
        <v>40214</v>
      </c>
      <c r="B176" s="116">
        <f>Correlation!B176</f>
        <v>0</v>
      </c>
      <c r="C176" s="116">
        <f>Correlation!C176</f>
        <v>0</v>
      </c>
      <c r="D176" s="116">
        <f>Correlation!D176</f>
        <v>0</v>
      </c>
      <c r="E176" s="116">
        <f>Correlation!E176</f>
        <v>0</v>
      </c>
      <c r="F176" s="116">
        <f>Correlation!F176</f>
        <v>0</v>
      </c>
    </row>
    <row r="177" spans="1:6" ht="15" x14ac:dyDescent="0.25">
      <c r="A177" s="115">
        <v>40221</v>
      </c>
      <c r="B177" s="116">
        <f>Correlation!B177</f>
        <v>0</v>
      </c>
      <c r="C177" s="116">
        <f>Correlation!C177</f>
        <v>0</v>
      </c>
      <c r="D177" s="116">
        <f>Correlation!D177</f>
        <v>0</v>
      </c>
      <c r="E177" s="116">
        <f>Correlation!E177</f>
        <v>0</v>
      </c>
      <c r="F177" s="116">
        <f>Correlation!F177</f>
        <v>0</v>
      </c>
    </row>
    <row r="178" spans="1:6" ht="15" x14ac:dyDescent="0.25">
      <c r="A178" s="115">
        <v>40228</v>
      </c>
      <c r="B178" s="116">
        <f>Correlation!B178</f>
        <v>0</v>
      </c>
      <c r="C178" s="116">
        <f>Correlation!C178</f>
        <v>0</v>
      </c>
      <c r="D178" s="116">
        <f>Correlation!D178</f>
        <v>0</v>
      </c>
      <c r="E178" s="116">
        <f>Correlation!E178</f>
        <v>0</v>
      </c>
      <c r="F178" s="116">
        <f>Correlation!F178</f>
        <v>0</v>
      </c>
    </row>
    <row r="179" spans="1:6" ht="15" x14ac:dyDescent="0.25">
      <c r="A179" s="115">
        <v>40235</v>
      </c>
      <c r="B179" s="116">
        <f>Correlation!B179</f>
        <v>0</v>
      </c>
      <c r="C179" s="116">
        <f>Correlation!C179</f>
        <v>0</v>
      </c>
      <c r="D179" s="116">
        <f>Correlation!D179</f>
        <v>0</v>
      </c>
      <c r="E179" s="116">
        <f>Correlation!E179</f>
        <v>0</v>
      </c>
      <c r="F179" s="116">
        <f>Correlation!F179</f>
        <v>0</v>
      </c>
    </row>
    <row r="180" spans="1:6" ht="15" x14ac:dyDescent="0.25">
      <c r="A180" s="115">
        <v>40242</v>
      </c>
      <c r="B180" s="116">
        <f>Correlation!B180</f>
        <v>0</v>
      </c>
      <c r="C180" s="116">
        <f>Correlation!C180</f>
        <v>0</v>
      </c>
      <c r="D180" s="116">
        <f>Correlation!D180</f>
        <v>0</v>
      </c>
      <c r="E180" s="116">
        <f>Correlation!E180</f>
        <v>0</v>
      </c>
      <c r="F180" s="116">
        <f>Correlation!F180</f>
        <v>0</v>
      </c>
    </row>
    <row r="181" spans="1:6" ht="15" x14ac:dyDescent="0.25">
      <c r="A181" s="115">
        <v>40249</v>
      </c>
      <c r="B181" s="116">
        <f>Correlation!B181</f>
        <v>0</v>
      </c>
      <c r="C181" s="116">
        <f>Correlation!C181</f>
        <v>0</v>
      </c>
      <c r="D181" s="116">
        <f>Correlation!D181</f>
        <v>0</v>
      </c>
      <c r="E181" s="116">
        <f>Correlation!E181</f>
        <v>0</v>
      </c>
      <c r="F181" s="116">
        <f>Correlation!F181</f>
        <v>0</v>
      </c>
    </row>
    <row r="182" spans="1:6" ht="15" x14ac:dyDescent="0.25">
      <c r="A182" s="115">
        <v>40256</v>
      </c>
      <c r="B182" s="116">
        <f>Correlation!B182</f>
        <v>0</v>
      </c>
      <c r="C182" s="116">
        <f>Correlation!C182</f>
        <v>0</v>
      </c>
      <c r="D182" s="116">
        <f>Correlation!D182</f>
        <v>0</v>
      </c>
      <c r="E182" s="116">
        <f>Correlation!E182</f>
        <v>0</v>
      </c>
      <c r="F182" s="116">
        <f>Correlation!F182</f>
        <v>0</v>
      </c>
    </row>
    <row r="183" spans="1:6" ht="15" x14ac:dyDescent="0.25">
      <c r="A183" s="115">
        <v>40263</v>
      </c>
      <c r="B183" s="116">
        <f>Correlation!B183</f>
        <v>0</v>
      </c>
      <c r="C183" s="116">
        <f>Correlation!C183</f>
        <v>1.17303397854896E-2</v>
      </c>
      <c r="D183" s="116">
        <f>Correlation!D183</f>
        <v>4.817887409326458E-2</v>
      </c>
      <c r="E183" s="116">
        <f>Correlation!E183</f>
        <v>-5.6677445381088541E-3</v>
      </c>
      <c r="F183" s="116">
        <f>Correlation!F183</f>
        <v>-1.6674257745051314E-2</v>
      </c>
    </row>
    <row r="184" spans="1:6" ht="15" x14ac:dyDescent="0.25">
      <c r="A184" s="115">
        <v>40270</v>
      </c>
      <c r="B184" s="116">
        <f>Correlation!B184</f>
        <v>1.3889112160667093E-2</v>
      </c>
      <c r="C184" s="116">
        <f>Correlation!C184</f>
        <v>-1.4684551682921182E-2</v>
      </c>
      <c r="D184" s="116">
        <f>Correlation!D184</f>
        <v>3.4669522624568357E-2</v>
      </c>
      <c r="E184" s="116">
        <f>Correlation!E184</f>
        <v>1.7256987506745442E-2</v>
      </c>
      <c r="F184" s="116">
        <f>Correlation!F184</f>
        <v>1.2131864568520719E-2</v>
      </c>
    </row>
    <row r="185" spans="1:6" ht="15" x14ac:dyDescent="0.25">
      <c r="A185" s="115">
        <v>40277</v>
      </c>
      <c r="B185" s="116">
        <f>Correlation!B185</f>
        <v>1.3698844358161927E-2</v>
      </c>
      <c r="C185" s="116">
        <f>Correlation!C185</f>
        <v>3.488725900044054E-2</v>
      </c>
      <c r="D185" s="116">
        <f>Correlation!D185</f>
        <v>4.0512996308168486E-2</v>
      </c>
      <c r="E185" s="116">
        <f>Correlation!E185</f>
        <v>2.0927806731305776E-3</v>
      </c>
      <c r="F185" s="116">
        <f>Correlation!F185</f>
        <v>-1.7001091992884354E-2</v>
      </c>
    </row>
    <row r="186" spans="1:6" ht="15" x14ac:dyDescent="0.25">
      <c r="A186" s="115">
        <v>40284</v>
      </c>
      <c r="B186" s="116">
        <f>Correlation!B186</f>
        <v>2.6847250036188056E-2</v>
      </c>
      <c r="C186" s="116">
        <f>Correlation!C186</f>
        <v>8.5349024498372859E-3</v>
      </c>
      <c r="D186" s="116">
        <f>Correlation!D186</f>
        <v>2.2007360673165537E-2</v>
      </c>
      <c r="E186" s="116">
        <f>Correlation!E186</f>
        <v>-1.6511880500177465E-2</v>
      </c>
      <c r="F186" s="116">
        <f>Correlation!F186</f>
        <v>-7.8333697441189953E-2</v>
      </c>
    </row>
    <row r="187" spans="1:6" ht="15" x14ac:dyDescent="0.25">
      <c r="A187" s="115">
        <v>40291</v>
      </c>
      <c r="B187" s="116">
        <f>Correlation!B187</f>
        <v>6.6006840313520927E-3</v>
      </c>
      <c r="C187" s="116">
        <f>Correlation!C187</f>
        <v>-4.9356896970092497E-2</v>
      </c>
      <c r="D187" s="116">
        <f>Correlation!D187</f>
        <v>-2.5941791978000145E-2</v>
      </c>
      <c r="E187" s="116">
        <f>Correlation!E187</f>
        <v>-2.9477331950703532E-2</v>
      </c>
      <c r="F187" s="116">
        <f>Correlation!F187</f>
        <v>-7.5900423497552438E-2</v>
      </c>
    </row>
    <row r="188" spans="1:6" ht="15" x14ac:dyDescent="0.25">
      <c r="A188" s="115">
        <v>40298</v>
      </c>
      <c r="B188" s="116">
        <f>Correlation!B188</f>
        <v>0</v>
      </c>
      <c r="C188" s="116">
        <f>Correlation!C188</f>
        <v>3.2213619983655059E-2</v>
      </c>
      <c r="D188" s="116">
        <f>Correlation!D188</f>
        <v>-3.9764005694620019E-2</v>
      </c>
      <c r="E188" s="116">
        <f>Correlation!E188</f>
        <v>-2.2879226758177152E-2</v>
      </c>
      <c r="F188" s="116">
        <f>Correlation!F188</f>
        <v>-4.5255239477577709E-2</v>
      </c>
    </row>
    <row r="189" spans="1:6" ht="15" x14ac:dyDescent="0.25">
      <c r="A189" s="115">
        <v>40305</v>
      </c>
      <c r="B189" s="116">
        <f>Correlation!B189</f>
        <v>0</v>
      </c>
      <c r="C189" s="116">
        <f>Correlation!C189</f>
        <v>-5.9364609049605811E-2</v>
      </c>
      <c r="D189" s="116">
        <f>Correlation!D189</f>
        <v>-2.8759668580139199E-2</v>
      </c>
      <c r="E189" s="116">
        <f>Correlation!E189</f>
        <v>-1.8681118827201834E-3</v>
      </c>
      <c r="F189" s="116">
        <f>Correlation!F189</f>
        <v>4.2037451122652017E-2</v>
      </c>
    </row>
    <row r="190" spans="1:6" ht="15" x14ac:dyDescent="0.25">
      <c r="A190" s="115">
        <v>40312</v>
      </c>
      <c r="B190" s="116">
        <f>Correlation!B190</f>
        <v>6.5574005461590396E-3</v>
      </c>
      <c r="C190" s="116">
        <f>Correlation!C190</f>
        <v>-3.421795731034126E-2</v>
      </c>
      <c r="D190" s="116">
        <f>Correlation!D190</f>
        <v>-2.1239065177835741E-2</v>
      </c>
      <c r="E190" s="116">
        <f>Correlation!E190</f>
        <v>-8.2614063561353302E-3</v>
      </c>
      <c r="F190" s="116">
        <f>Correlation!F190</f>
        <v>1.1796539622320348E-2</v>
      </c>
    </row>
    <row r="191" spans="1:6" ht="15" x14ac:dyDescent="0.25">
      <c r="A191" s="115">
        <v>40319</v>
      </c>
      <c r="B191" s="116">
        <f>Correlation!B191</f>
        <v>-1.3158084577511199E-2</v>
      </c>
      <c r="C191" s="116">
        <f>Correlation!C191</f>
        <v>4.9392755329576266E-2</v>
      </c>
      <c r="D191" s="116">
        <f>Correlation!D191</f>
        <v>-5.2125860378649816E-2</v>
      </c>
      <c r="E191" s="116">
        <f>Correlation!E191</f>
        <v>1.6455120726444467E-2</v>
      </c>
      <c r="F191" s="116">
        <f>Correlation!F191</f>
        <v>3.8346078341099113E-2</v>
      </c>
    </row>
    <row r="192" spans="1:6" ht="15" x14ac:dyDescent="0.25">
      <c r="A192" s="115">
        <v>40326</v>
      </c>
      <c r="B192" s="116">
        <f>Correlation!B192</f>
        <v>1.3158084577511201E-2</v>
      </c>
      <c r="C192" s="116">
        <f>Correlation!C192</f>
        <v>-6.0423144559625863E-3</v>
      </c>
      <c r="D192" s="116">
        <f>Correlation!D192</f>
        <v>9.045287801849166E-3</v>
      </c>
      <c r="E192" s="116">
        <f>Correlation!E192</f>
        <v>5.9171770280885185E-3</v>
      </c>
      <c r="F192" s="116">
        <f>Correlation!F192</f>
        <v>1.6444784324095428E-2</v>
      </c>
    </row>
    <row r="193" spans="1:6" ht="15" x14ac:dyDescent="0.25">
      <c r="A193" s="115">
        <v>40333</v>
      </c>
      <c r="B193" s="116">
        <f>Correlation!B193</f>
        <v>-1.9802627296179754E-2</v>
      </c>
      <c r="C193" s="116">
        <f>Correlation!C193</f>
        <v>-2.4541108916117545E-2</v>
      </c>
      <c r="D193" s="116">
        <f>Correlation!D193</f>
        <v>-9.5502108118191344E-3</v>
      </c>
      <c r="E193" s="116">
        <f>Correlation!E193</f>
        <v>-1.3363227812167141E-2</v>
      </c>
      <c r="F193" s="116">
        <f>Correlation!F193</f>
        <v>-7.1527127508632972E-3</v>
      </c>
    </row>
    <row r="194" spans="1:6" ht="15" x14ac:dyDescent="0.25">
      <c r="A194" s="115">
        <v>40340</v>
      </c>
      <c r="B194" s="116">
        <f>Correlation!B194</f>
        <v>-2.0202707317519466E-2</v>
      </c>
      <c r="C194" s="116">
        <f>Correlation!C194</f>
        <v>6.8992871486951421E-2</v>
      </c>
      <c r="D194" s="116">
        <f>Correlation!D194</f>
        <v>1.8216898519894865E-2</v>
      </c>
      <c r="E194" s="116">
        <f>Correlation!E194</f>
        <v>-3.7439205094651753E-3</v>
      </c>
      <c r="F194" s="116">
        <f>Correlation!F194</f>
        <v>-1.1942927677332833E-2</v>
      </c>
    </row>
    <row r="195" spans="1:6" ht="15" x14ac:dyDescent="0.25">
      <c r="A195" s="115">
        <v>40347</v>
      </c>
      <c r="B195" s="116">
        <f>Correlation!B195</f>
        <v>2.6847250036188056E-2</v>
      </c>
      <c r="C195" s="116">
        <f>Correlation!C195</f>
        <v>8.6580627431145311E-3</v>
      </c>
      <c r="D195" s="116">
        <f>Correlation!D195</f>
        <v>2.5268213419844178E-2</v>
      </c>
      <c r="E195" s="116">
        <f>Correlation!E195</f>
        <v>2.2480339178823487E-3</v>
      </c>
      <c r="F195" s="116">
        <f>Correlation!F195</f>
        <v>5.5865923240703348E-4</v>
      </c>
    </row>
    <row r="196" spans="1:6" ht="15" x14ac:dyDescent="0.25">
      <c r="A196" s="115">
        <v>40354</v>
      </c>
      <c r="B196" s="116">
        <f>Correlation!B196</f>
        <v>1.3158084577511201E-2</v>
      </c>
      <c r="C196" s="116">
        <f>Correlation!C196</f>
        <v>-1.4472032608534319E-2</v>
      </c>
      <c r="D196" s="116">
        <f>Correlation!D196</f>
        <v>1.4496257672642491E-3</v>
      </c>
      <c r="E196" s="116">
        <f>Correlation!E196</f>
        <v>1.1535011619911139E-2</v>
      </c>
      <c r="F196" s="116">
        <f>Correlation!F196</f>
        <v>5.4306336904887623E-3</v>
      </c>
    </row>
    <row r="197" spans="1:6" ht="15" x14ac:dyDescent="0.25">
      <c r="A197" s="115">
        <v>40361</v>
      </c>
      <c r="B197" s="116">
        <f>Correlation!B197</f>
        <v>0</v>
      </c>
      <c r="C197" s="116">
        <f>Correlation!C197</f>
        <v>-3.5612071788877091E-2</v>
      </c>
      <c r="D197" s="116">
        <f>Correlation!D197</f>
        <v>-1.6553445168778359E-2</v>
      </c>
      <c r="E197" s="116">
        <f>Correlation!E197</f>
        <v>-5.9369376609564118E-3</v>
      </c>
      <c r="F197" s="116">
        <f>Correlation!F197</f>
        <v>1.5707129205357877E-2</v>
      </c>
    </row>
    <row r="198" spans="1:6" ht="15" x14ac:dyDescent="0.25">
      <c r="A198" s="115">
        <v>40368</v>
      </c>
      <c r="B198" s="116">
        <f>Correlation!B198</f>
        <v>1.9418085857101516E-2</v>
      </c>
      <c r="C198" s="116">
        <f>Correlation!C198</f>
        <v>6.7178537756711523E-2</v>
      </c>
      <c r="D198" s="116">
        <f>Correlation!D198</f>
        <v>1.171316466365317E-2</v>
      </c>
      <c r="E198" s="116">
        <f>Correlation!E198</f>
        <v>1.9532590766624874E-2</v>
      </c>
      <c r="F198" s="116">
        <f>Correlation!F198</f>
        <v>4.8041259001173099E-2</v>
      </c>
    </row>
    <row r="199" spans="1:6" ht="15" x14ac:dyDescent="0.25">
      <c r="A199" s="115">
        <v>40375</v>
      </c>
      <c r="B199" s="116">
        <f>Correlation!B199</f>
        <v>5.6089466651043578E-2</v>
      </c>
      <c r="C199" s="116">
        <f>Correlation!C199</f>
        <v>2.8208763416412634E-3</v>
      </c>
      <c r="D199" s="116">
        <f>Correlation!D199</f>
        <v>2.8696373674223338E-2</v>
      </c>
      <c r="E199" s="116">
        <f>Correlation!E199</f>
        <v>-1.6188727349918282E-2</v>
      </c>
      <c r="F199" s="116">
        <f>Correlation!F199</f>
        <v>-1.1136702065722162E-2</v>
      </c>
    </row>
    <row r="200" spans="1:6" ht="15" x14ac:dyDescent="0.25">
      <c r="A200" s="115">
        <v>40382</v>
      </c>
      <c r="B200" s="116">
        <f>Correlation!B200</f>
        <v>2.9852963149681128E-2</v>
      </c>
      <c r="C200" s="116">
        <f>Correlation!C200</f>
        <v>3.5965148693515303E-2</v>
      </c>
      <c r="D200" s="116">
        <f>Correlation!D200</f>
        <v>0</v>
      </c>
      <c r="E200" s="116">
        <f>Correlation!E200</f>
        <v>-1.6078117894458038E-2</v>
      </c>
      <c r="F200" s="116">
        <f>Correlation!F200</f>
        <v>-4.88692186775566E-2</v>
      </c>
    </row>
    <row r="201" spans="1:6" ht="15" x14ac:dyDescent="0.25">
      <c r="A201" s="115">
        <v>40389</v>
      </c>
      <c r="B201" s="116">
        <f>Correlation!B201</f>
        <v>5.7158413839948623E-2</v>
      </c>
      <c r="C201" s="116">
        <f>Correlation!C201</f>
        <v>-2.7210901143607247E-3</v>
      </c>
      <c r="D201" s="116">
        <f>Correlation!D201</f>
        <v>1.1251876797434847E-2</v>
      </c>
      <c r="E201" s="116">
        <f>Correlation!E201</f>
        <v>-4.9121579973777311E-3</v>
      </c>
      <c r="F201" s="116">
        <f>Correlation!F201</f>
        <v>-4.0804700812570233E-2</v>
      </c>
    </row>
    <row r="202" spans="1:6" ht="15" x14ac:dyDescent="0.25">
      <c r="A202" s="115">
        <v>40396</v>
      </c>
      <c r="B202" s="116">
        <f>Correlation!B202</f>
        <v>3.8151765964376326E-2</v>
      </c>
      <c r="C202" s="116">
        <f>Correlation!C202</f>
        <v>4.2673141126075696E-2</v>
      </c>
      <c r="D202" s="116">
        <f>Correlation!D202</f>
        <v>1.3429236319037459E-2</v>
      </c>
      <c r="E202" s="116">
        <f>Correlation!E202</f>
        <v>2.6480060867392304E-3</v>
      </c>
      <c r="F202" s="116">
        <f>Correlation!F202</f>
        <v>2.3218762603484176E-2</v>
      </c>
    </row>
    <row r="203" spans="1:6" ht="15" x14ac:dyDescent="0.25">
      <c r="A203" s="115">
        <v>40403</v>
      </c>
      <c r="B203" s="116">
        <f>Correlation!B203</f>
        <v>5.3333459753623818E-3</v>
      </c>
      <c r="C203" s="116">
        <f>Correlation!C203</f>
        <v>5.5852077925893001E-2</v>
      </c>
      <c r="D203" s="116">
        <f>Correlation!D203</f>
        <v>6.3963378773985752E-2</v>
      </c>
      <c r="E203" s="116">
        <f>Correlation!E203</f>
        <v>1.7971281115996201E-2</v>
      </c>
      <c r="F203" s="116">
        <f>Correlation!F203</f>
        <v>9.8081212219903961E-3</v>
      </c>
    </row>
    <row r="204" spans="1:6" ht="15" x14ac:dyDescent="0.25">
      <c r="A204" s="115">
        <v>40410</v>
      </c>
      <c r="B204" s="116">
        <f>Correlation!B204</f>
        <v>4.6761765908039286E-2</v>
      </c>
      <c r="C204" s="116">
        <f>Correlation!C204</f>
        <v>7.3755176242495252E-2</v>
      </c>
      <c r="D204" s="116">
        <f>Correlation!D204</f>
        <v>5.1055951760779712E-2</v>
      </c>
      <c r="E204" s="116">
        <f>Correlation!E204</f>
        <v>2.9640629333501727E-3</v>
      </c>
      <c r="F204" s="116">
        <f>Correlation!F204</f>
        <v>1.7278749040596619E-2</v>
      </c>
    </row>
    <row r="205" spans="1:6" ht="15" x14ac:dyDescent="0.25">
      <c r="A205" s="115">
        <v>40417</v>
      </c>
      <c r="B205" s="116">
        <f>Correlation!B205</f>
        <v>0.30673026742247544</v>
      </c>
      <c r="C205" s="116">
        <f>Correlation!C205</f>
        <v>0.24438526669845656</v>
      </c>
      <c r="D205" s="116">
        <f>Correlation!D205</f>
        <v>0.2357757042462694</v>
      </c>
      <c r="E205" s="116">
        <f>Correlation!E205</f>
        <v>-2.6628792346601562E-2</v>
      </c>
      <c r="F205" s="116">
        <f>Correlation!F205</f>
        <v>-7.6325412571879914E-2</v>
      </c>
    </row>
    <row r="206" spans="1:6" ht="15" x14ac:dyDescent="0.25">
      <c r="A206" s="115">
        <v>40424</v>
      </c>
      <c r="B206" s="116">
        <f>Correlation!B206</f>
        <v>0.260030541121271</v>
      </c>
      <c r="C206" s="116">
        <f>Correlation!C206</f>
        <v>0.25475139463876922</v>
      </c>
      <c r="D206" s="116">
        <f>Correlation!D206</f>
        <v>0.22681431641300684</v>
      </c>
      <c r="E206" s="116">
        <f>Correlation!E206</f>
        <v>3.332719248384151E-3</v>
      </c>
      <c r="F206" s="116">
        <f>Correlation!F206</f>
        <v>-4.458951310483502E-2</v>
      </c>
    </row>
    <row r="207" spans="1:6" ht="15" x14ac:dyDescent="0.25">
      <c r="A207" s="115">
        <v>40431</v>
      </c>
      <c r="B207" s="116">
        <f>Correlation!B207</f>
        <v>0.15750638767423067</v>
      </c>
      <c r="C207" s="116">
        <f>Correlation!C207</f>
        <v>0.18322694390876712</v>
      </c>
      <c r="D207" s="116">
        <f>Correlation!D207</f>
        <v>0.21547632647561035</v>
      </c>
      <c r="E207" s="116">
        <f>Correlation!E207</f>
        <v>5.1425211807437185E-2</v>
      </c>
      <c r="F207" s="116">
        <f>Correlation!F207</f>
        <v>6.6369991836285835E-2</v>
      </c>
    </row>
    <row r="208" spans="1:6" ht="15" x14ac:dyDescent="0.25">
      <c r="A208" s="115">
        <v>40438</v>
      </c>
      <c r="B208" s="116">
        <f>Correlation!B208</f>
        <v>0.10536051565782635</v>
      </c>
      <c r="C208" s="116">
        <f>Correlation!C208</f>
        <v>0.32904887766380109</v>
      </c>
      <c r="D208" s="116">
        <f>Correlation!D208</f>
        <v>0.24540213919828183</v>
      </c>
      <c r="E208" s="116">
        <f>Correlation!E208</f>
        <v>5.7053189448837582E-2</v>
      </c>
      <c r="F208" s="116">
        <f>Correlation!F208</f>
        <v>0.10859781210761758</v>
      </c>
    </row>
    <row r="209" spans="1:6" ht="15" x14ac:dyDescent="0.25">
      <c r="A209" s="115">
        <v>40445</v>
      </c>
      <c r="B209" s="116">
        <f>Correlation!B209</f>
        <v>0.16705408466316607</v>
      </c>
      <c r="C209" s="116">
        <f>Correlation!C209</f>
        <v>0.2922408559901235</v>
      </c>
      <c r="D209" s="116">
        <f>Correlation!D209</f>
        <v>0.32104299963550836</v>
      </c>
      <c r="E209" s="116">
        <f>Correlation!E209</f>
        <v>4.6142158082692522E-2</v>
      </c>
      <c r="F209" s="116">
        <f>Correlation!F209</f>
        <v>6.5004830308995995E-2</v>
      </c>
    </row>
    <row r="210" spans="1:6" ht="15" x14ac:dyDescent="0.25">
      <c r="A210" s="115">
        <v>40452</v>
      </c>
      <c r="B210" s="116">
        <f>Correlation!B210</f>
        <v>0.19290366612449145</v>
      </c>
      <c r="C210" s="116">
        <f>Correlation!C210</f>
        <v>0.26141414563117066</v>
      </c>
      <c r="D210" s="116">
        <f>Correlation!D210</f>
        <v>0.26571754832431754</v>
      </c>
      <c r="E210" s="116">
        <f>Correlation!E210</f>
        <v>2.3832475368098242E-2</v>
      </c>
      <c r="F210" s="116">
        <f>Correlation!F210</f>
        <v>6.0723038941093932E-2</v>
      </c>
    </row>
    <row r="211" spans="1:6" x14ac:dyDescent="0.2">
      <c r="A211">
        <v>40459</v>
      </c>
    </row>
    <row r="212" spans="1:6" x14ac:dyDescent="0.2">
      <c r="A212">
        <v>40466</v>
      </c>
    </row>
    <row r="213" spans="1:6" x14ac:dyDescent="0.2">
      <c r="A213">
        <v>40473</v>
      </c>
    </row>
    <row r="214" spans="1:6" x14ac:dyDescent="0.2">
      <c r="A214">
        <v>40480</v>
      </c>
    </row>
  </sheetData>
  <phoneticPr fontId="18"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Prices Full</vt:lpstr>
      <vt:lpstr>Correlation</vt:lpstr>
      <vt:lpstr>Historical_Prices</vt:lpstr>
      <vt:lpstr>Econometric</vt:lpstr>
      <vt:lpstr>'Prices Full'!GasPrices</vt:lpstr>
      <vt:lpstr>Hist_EtOH_Real</vt:lpstr>
      <vt:lpstr>PricesCEtOH</vt:lpstr>
      <vt:lpstr>PricesCorn</vt:lpstr>
      <vt:lpstr>PricesDDG</vt:lpstr>
      <vt:lpstr>PricesEtOH</vt:lpstr>
      <vt:lpstr>PricesGas</vt:lpstr>
    </vt:vector>
  </TitlesOfParts>
  <Company>Oklahoma State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Scott Mongeau SARK7</cp:lastModifiedBy>
  <dcterms:created xsi:type="dcterms:W3CDTF">2003-07-24T15:07:28Z</dcterms:created>
  <dcterms:modified xsi:type="dcterms:W3CDTF">2012-01-12T14:35:40Z</dcterms:modified>
</cp:coreProperties>
</file>